
<file path=[Content_Types].xml><?xml version="1.0" encoding="utf-8"?>
<Types xmlns="http://schemas.openxmlformats.org/package/2006/content-types"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9660" windowHeight="5490" activeTab="2"/>
  </bookViews>
  <sheets>
    <sheet name="Rozpočet - vybrané sloupce" sheetId="1" r:id="rId1"/>
    <sheet name="Rozpočet - Jen skupiny" sheetId="2" r:id="rId2"/>
    <sheet name="Krycí list rozpočtu" sheetId="3" r:id="rId3"/>
    <sheet name="Stavební rozpočet" sheetId="4" state="veryHidden" r:id="rId4"/>
  </sheets>
  <calcPr calcId="125725"/>
</workbook>
</file>

<file path=xl/calcChain.xml><?xml version="1.0" encoding="utf-8"?>
<calcChain xmlns="http://schemas.openxmlformats.org/spreadsheetml/2006/main">
  <c r="C2" i="3"/>
  <c r="F2"/>
  <c r="C4"/>
  <c r="F4"/>
  <c r="C6"/>
  <c r="F6"/>
  <c r="C8"/>
  <c r="F8"/>
  <c r="C10"/>
  <c r="F10"/>
  <c r="I10"/>
  <c r="F22"/>
  <c r="I22"/>
  <c r="D2" i="2"/>
  <c r="G2"/>
  <c r="J2"/>
  <c r="D4"/>
  <c r="G4"/>
  <c r="J4"/>
  <c r="D6"/>
  <c r="G6"/>
  <c r="J6"/>
  <c r="D8"/>
  <c r="G8"/>
  <c r="J8"/>
  <c r="P12"/>
  <c r="P13"/>
  <c r="C2" i="1"/>
  <c r="F2"/>
  <c r="H2"/>
  <c r="C4"/>
  <c r="F4"/>
  <c r="H4"/>
  <c r="C6"/>
  <c r="F6"/>
  <c r="H6"/>
  <c r="C8"/>
  <c r="F8"/>
  <c r="H8"/>
  <c r="G11"/>
  <c r="G12"/>
  <c r="IR12"/>
  <c r="IS12"/>
  <c r="G13"/>
  <c r="IR13"/>
  <c r="IS13"/>
  <c r="G14"/>
  <c r="IR14"/>
  <c r="IS14"/>
  <c r="G15"/>
  <c r="IR15"/>
  <c r="IS15"/>
  <c r="G16"/>
  <c r="IR16"/>
  <c r="IS16"/>
  <c r="G17"/>
  <c r="IR17"/>
  <c r="IS17"/>
  <c r="G18"/>
  <c r="IR18"/>
  <c r="IS18"/>
  <c r="G19"/>
  <c r="IR19"/>
  <c r="IS19"/>
  <c r="G20"/>
  <c r="IR20"/>
  <c r="IS20"/>
  <c r="G21"/>
  <c r="IR21"/>
  <c r="IS21"/>
  <c r="G22"/>
  <c r="IR22"/>
  <c r="IS22"/>
  <c r="G23"/>
  <c r="G24"/>
  <c r="IR24"/>
  <c r="IS24"/>
  <c r="G25"/>
  <c r="IR25"/>
  <c r="IS25"/>
  <c r="G26"/>
  <c r="IR26"/>
  <c r="IS26"/>
  <c r="G27"/>
  <c r="IR27"/>
  <c r="IS27"/>
  <c r="G28"/>
  <c r="IR28"/>
  <c r="IS28"/>
  <c r="G29"/>
  <c r="IR29"/>
  <c r="IS29"/>
  <c r="G30"/>
  <c r="IR30"/>
  <c r="IS30"/>
  <c r="G31"/>
  <c r="G32"/>
  <c r="IR32"/>
  <c r="IS32"/>
  <c r="G33"/>
  <c r="IR33"/>
  <c r="IS33"/>
  <c r="G34"/>
  <c r="IR34"/>
  <c r="IS34"/>
  <c r="G35"/>
  <c r="IR35"/>
  <c r="IS35"/>
  <c r="G36"/>
  <c r="IR36"/>
  <c r="IS36"/>
  <c r="IR38"/>
  <c r="G38" s="1"/>
  <c r="G37" s="1"/>
  <c r="G44" s="1"/>
  <c r="IS38"/>
  <c r="G39"/>
  <c r="IR39"/>
  <c r="IS39"/>
  <c r="G40"/>
  <c r="IR40"/>
  <c r="IS40"/>
  <c r="G41"/>
  <c r="IR41"/>
  <c r="IS41"/>
  <c r="G42"/>
  <c r="IR42"/>
  <c r="IS42"/>
  <c r="F13" i="4"/>
  <c r="L13" s="1"/>
  <c r="BF13" s="1"/>
  <c r="G13"/>
  <c r="AP13" s="1"/>
  <c r="Z13"/>
  <c r="AB13"/>
  <c r="AC13"/>
  <c r="AF13"/>
  <c r="AG13"/>
  <c r="AH13"/>
  <c r="AJ13"/>
  <c r="AK13"/>
  <c r="AO13"/>
  <c r="H13" s="1"/>
  <c r="BD13"/>
  <c r="BJ13"/>
  <c r="F14"/>
  <c r="L14" s="1"/>
  <c r="BF14" s="1"/>
  <c r="G14"/>
  <c r="Z14"/>
  <c r="AB14"/>
  <c r="AC14"/>
  <c r="AF14"/>
  <c r="AG14"/>
  <c r="AH14"/>
  <c r="AJ14"/>
  <c r="AK14"/>
  <c r="AO14"/>
  <c r="AP14"/>
  <c r="BD14"/>
  <c r="F15"/>
  <c r="L15" s="1"/>
  <c r="BF15" s="1"/>
  <c r="G15"/>
  <c r="Z15"/>
  <c r="AB15"/>
  <c r="AC15"/>
  <c r="AF15"/>
  <c r="AG15"/>
  <c r="AH15"/>
  <c r="AJ15"/>
  <c r="AK15"/>
  <c r="AO15"/>
  <c r="AP15"/>
  <c r="BD15"/>
  <c r="F16"/>
  <c r="L16" s="1"/>
  <c r="BF16" s="1"/>
  <c r="G16"/>
  <c r="Z16"/>
  <c r="AB16"/>
  <c r="AC16"/>
  <c r="AF16"/>
  <c r="AG16"/>
  <c r="AH16"/>
  <c r="AJ16"/>
  <c r="AK16"/>
  <c r="AO16"/>
  <c r="AP16"/>
  <c r="BD16"/>
  <c r="F17"/>
  <c r="L17" s="1"/>
  <c r="BF17" s="1"/>
  <c r="G17"/>
  <c r="Z17"/>
  <c r="AB17"/>
  <c r="AC17"/>
  <c r="AF17"/>
  <c r="AG17"/>
  <c r="AH17"/>
  <c r="AJ17"/>
  <c r="AK17"/>
  <c r="AO17"/>
  <c r="AP17"/>
  <c r="BD17"/>
  <c r="F18"/>
  <c r="L18" s="1"/>
  <c r="BF18" s="1"/>
  <c r="G18"/>
  <c r="Z18"/>
  <c r="AB18"/>
  <c r="AC18"/>
  <c r="AF18"/>
  <c r="AG18"/>
  <c r="AH18"/>
  <c r="AJ18"/>
  <c r="AK18"/>
  <c r="AO18"/>
  <c r="AP18"/>
  <c r="BD18"/>
  <c r="F19"/>
  <c r="L19" s="1"/>
  <c r="BF19" s="1"/>
  <c r="G19"/>
  <c r="Z19"/>
  <c r="AB19"/>
  <c r="AC19"/>
  <c r="AF19"/>
  <c r="AG19"/>
  <c r="AH19"/>
  <c r="AJ19"/>
  <c r="AK19"/>
  <c r="AO19"/>
  <c r="AP19"/>
  <c r="BD19"/>
  <c r="F20"/>
  <c r="BJ20" s="1"/>
  <c r="G20"/>
  <c r="L20"/>
  <c r="BF20" s="1"/>
  <c r="Z20"/>
  <c r="AB20"/>
  <c r="AC20"/>
  <c r="AF20"/>
  <c r="AG20"/>
  <c r="AH20"/>
  <c r="AJ20"/>
  <c r="AK20"/>
  <c r="AO20"/>
  <c r="AP20"/>
  <c r="AW20"/>
  <c r="BD20"/>
  <c r="BI20"/>
  <c r="AE20" s="1"/>
  <c r="F21"/>
  <c r="G21"/>
  <c r="J21"/>
  <c r="AL21" s="1"/>
  <c r="L21"/>
  <c r="Z21"/>
  <c r="AB21"/>
  <c r="AC21"/>
  <c r="AF21"/>
  <c r="AG21"/>
  <c r="AH21"/>
  <c r="AJ21"/>
  <c r="AK21"/>
  <c r="AO21"/>
  <c r="H21" s="1"/>
  <c r="AP21"/>
  <c r="AX21" s="1"/>
  <c r="AW21"/>
  <c r="BD21"/>
  <c r="BF21"/>
  <c r="BH21"/>
  <c r="AD21" s="1"/>
  <c r="BJ21"/>
  <c r="F22"/>
  <c r="G22"/>
  <c r="AO22" s="1"/>
  <c r="L22"/>
  <c r="Z22"/>
  <c r="AB22"/>
  <c r="AC22"/>
  <c r="AF22"/>
  <c r="AG22"/>
  <c r="AH22"/>
  <c r="AJ22"/>
  <c r="AK22"/>
  <c r="BD22"/>
  <c r="BF22"/>
  <c r="BJ22"/>
  <c r="F23"/>
  <c r="I23" s="1"/>
  <c r="G23"/>
  <c r="J23"/>
  <c r="AL23" s="1"/>
  <c r="L23"/>
  <c r="Z23"/>
  <c r="AB23"/>
  <c r="AC23"/>
  <c r="AF23"/>
  <c r="AG23"/>
  <c r="AH23"/>
  <c r="AJ23"/>
  <c r="AK23"/>
  <c r="AO23"/>
  <c r="H23" s="1"/>
  <c r="AP23"/>
  <c r="AX23" s="1"/>
  <c r="BD23"/>
  <c r="BF23"/>
  <c r="BH23"/>
  <c r="AD23" s="1"/>
  <c r="BJ23"/>
  <c r="F25"/>
  <c r="G25"/>
  <c r="AO25" s="1"/>
  <c r="AW25" s="1"/>
  <c r="Z25"/>
  <c r="AB25"/>
  <c r="AC25"/>
  <c r="AF25"/>
  <c r="AG25"/>
  <c r="AH25"/>
  <c r="AJ25"/>
  <c r="AK25"/>
  <c r="AP25"/>
  <c r="F26"/>
  <c r="J26" s="1"/>
  <c r="AL26" s="1"/>
  <c r="G26"/>
  <c r="Z26"/>
  <c r="AB26"/>
  <c r="AC26"/>
  <c r="AF26"/>
  <c r="AG26"/>
  <c r="AH26"/>
  <c r="AJ26"/>
  <c r="AK26"/>
  <c r="AO26"/>
  <c r="AP26"/>
  <c r="BD26"/>
  <c r="BJ26"/>
  <c r="F27"/>
  <c r="G27"/>
  <c r="J27" s="1"/>
  <c r="AL27" s="1"/>
  <c r="Z27"/>
  <c r="AB27"/>
  <c r="AC27"/>
  <c r="AF27"/>
  <c r="AG27"/>
  <c r="AH27"/>
  <c r="AJ27"/>
  <c r="AK27"/>
  <c r="AO27"/>
  <c r="AW27" s="1"/>
  <c r="AP27"/>
  <c r="BD27"/>
  <c r="BJ27"/>
  <c r="F28"/>
  <c r="G28"/>
  <c r="J28"/>
  <c r="AL28" s="1"/>
  <c r="Z28"/>
  <c r="AB28"/>
  <c r="AC28"/>
  <c r="AF28"/>
  <c r="AG28"/>
  <c r="AH28"/>
  <c r="AJ28"/>
  <c r="AK28"/>
  <c r="AO28"/>
  <c r="AP28"/>
  <c r="AW28"/>
  <c r="BD28"/>
  <c r="BJ28"/>
  <c r="F29"/>
  <c r="G29"/>
  <c r="J29" s="1"/>
  <c r="AL29" s="1"/>
  <c r="Z29"/>
  <c r="AB29"/>
  <c r="AC29"/>
  <c r="AF29"/>
  <c r="AG29"/>
  <c r="AH29"/>
  <c r="AJ29"/>
  <c r="AK29"/>
  <c r="AP29"/>
  <c r="F30"/>
  <c r="J30" s="1"/>
  <c r="AL30" s="1"/>
  <c r="G30"/>
  <c r="Z30"/>
  <c r="AB30"/>
  <c r="AC30"/>
  <c r="AF30"/>
  <c r="AG30"/>
  <c r="AH30"/>
  <c r="AJ30"/>
  <c r="AK30"/>
  <c r="AO30"/>
  <c r="AP30"/>
  <c r="BD30"/>
  <c r="BJ30"/>
  <c r="F31"/>
  <c r="G31"/>
  <c r="AO31" s="1"/>
  <c r="AW31" s="1"/>
  <c r="Z31"/>
  <c r="AB31"/>
  <c r="AC31"/>
  <c r="AF31"/>
  <c r="AG31"/>
  <c r="AH31"/>
  <c r="AJ31"/>
  <c r="AK31"/>
  <c r="AP31"/>
  <c r="BD31"/>
  <c r="BJ31"/>
  <c r="F33"/>
  <c r="G33"/>
  <c r="BD33" s="1"/>
  <c r="L33"/>
  <c r="BF33" s="1"/>
  <c r="Z33"/>
  <c r="AB33"/>
  <c r="AC33"/>
  <c r="AF33"/>
  <c r="AG33"/>
  <c r="AH33"/>
  <c r="AJ33"/>
  <c r="AK33"/>
  <c r="AO33"/>
  <c r="AW33" s="1"/>
  <c r="BH33"/>
  <c r="AD33" s="1"/>
  <c r="F34"/>
  <c r="BH34" s="1"/>
  <c r="AD34" s="1"/>
  <c r="G34"/>
  <c r="BD34" s="1"/>
  <c r="Z34"/>
  <c r="AB34"/>
  <c r="AC34"/>
  <c r="AF34"/>
  <c r="AG34"/>
  <c r="AH34"/>
  <c r="AJ34"/>
  <c r="AK34"/>
  <c r="AO34"/>
  <c r="F35"/>
  <c r="G35"/>
  <c r="BD35" s="1"/>
  <c r="L35"/>
  <c r="BF35" s="1"/>
  <c r="Z35"/>
  <c r="AB35"/>
  <c r="AC35"/>
  <c r="AF35"/>
  <c r="AG35"/>
  <c r="AH35"/>
  <c r="AJ35"/>
  <c r="AK35"/>
  <c r="AO35"/>
  <c r="AW35" s="1"/>
  <c r="BH35"/>
  <c r="AD35" s="1"/>
  <c r="F36"/>
  <c r="BH36" s="1"/>
  <c r="AD36" s="1"/>
  <c r="G36"/>
  <c r="BD36" s="1"/>
  <c r="Z36"/>
  <c r="AB36"/>
  <c r="AC36"/>
  <c r="AF36"/>
  <c r="AG36"/>
  <c r="AH36"/>
  <c r="AJ36"/>
  <c r="AK36"/>
  <c r="AO36"/>
  <c r="F37"/>
  <c r="G37"/>
  <c r="BD37" s="1"/>
  <c r="L37"/>
  <c r="BF37" s="1"/>
  <c r="Z37"/>
  <c r="AB37"/>
  <c r="AC37"/>
  <c r="AF37"/>
  <c r="AG37"/>
  <c r="AH37"/>
  <c r="AJ37"/>
  <c r="AK37"/>
  <c r="F39"/>
  <c r="G39"/>
  <c r="J39" s="1"/>
  <c r="L39"/>
  <c r="Z39"/>
  <c r="AB39"/>
  <c r="AC39"/>
  <c r="AD39"/>
  <c r="AE39"/>
  <c r="AF39"/>
  <c r="AG39"/>
  <c r="AJ39"/>
  <c r="AK39"/>
  <c r="F40"/>
  <c r="G40"/>
  <c r="J40" s="1"/>
  <c r="AL40" s="1"/>
  <c r="L40"/>
  <c r="BF40" s="1"/>
  <c r="Z40"/>
  <c r="AB40"/>
  <c r="AC40"/>
  <c r="AD40"/>
  <c r="AE40"/>
  <c r="AF40"/>
  <c r="AG40"/>
  <c r="AJ40"/>
  <c r="AK40"/>
  <c r="AO40"/>
  <c r="AW40" s="1"/>
  <c r="AP40"/>
  <c r="BI40" s="1"/>
  <c r="BH40"/>
  <c r="F41"/>
  <c r="G41"/>
  <c r="L41"/>
  <c r="BF41" s="1"/>
  <c r="Z41"/>
  <c r="AB41"/>
  <c r="AC41"/>
  <c r="AD41"/>
  <c r="AE41"/>
  <c r="AF41"/>
  <c r="AG41"/>
  <c r="AJ41"/>
  <c r="AK41"/>
  <c r="AO41"/>
  <c r="AW41" s="1"/>
  <c r="AP41"/>
  <c r="AX41"/>
  <c r="BI41"/>
  <c r="F42"/>
  <c r="G42"/>
  <c r="J42" s="1"/>
  <c r="AL42" s="1"/>
  <c r="Z42"/>
  <c r="AB42"/>
  <c r="AC42"/>
  <c r="AD42"/>
  <c r="AE42"/>
  <c r="AF42"/>
  <c r="AG42"/>
  <c r="AJ42"/>
  <c r="AK42"/>
  <c r="AP42"/>
  <c r="AX42" s="1"/>
  <c r="F43"/>
  <c r="BH43" s="1"/>
  <c r="G43"/>
  <c r="Z43"/>
  <c r="AB43"/>
  <c r="AC43"/>
  <c r="AD43"/>
  <c r="AE43"/>
  <c r="AF43"/>
  <c r="AG43"/>
  <c r="AJ43"/>
  <c r="AK43"/>
  <c r="AO43"/>
  <c r="AW43" s="1"/>
  <c r="H22" l="1"/>
  <c r="AW22"/>
  <c r="BH22"/>
  <c r="AD22" s="1"/>
  <c r="AX13"/>
  <c r="BI13"/>
  <c r="AE13" s="1"/>
  <c r="I41"/>
  <c r="L36"/>
  <c r="BF36" s="1"/>
  <c r="L34"/>
  <c r="BF34" s="1"/>
  <c r="AW30"/>
  <c r="BD29"/>
  <c r="H28"/>
  <c r="AW26"/>
  <c r="BD25"/>
  <c r="AP22"/>
  <c r="J22"/>
  <c r="AL22" s="1"/>
  <c r="H20"/>
  <c r="I20"/>
  <c r="BI19"/>
  <c r="AE19" s="1"/>
  <c r="AX19"/>
  <c r="I19"/>
  <c r="BI18"/>
  <c r="AE18" s="1"/>
  <c r="AX18"/>
  <c r="I18"/>
  <c r="BI17"/>
  <c r="AE17" s="1"/>
  <c r="AX17"/>
  <c r="I17"/>
  <c r="BI16"/>
  <c r="AE16" s="1"/>
  <c r="AX16"/>
  <c r="I16"/>
  <c r="BI15"/>
  <c r="AE15" s="1"/>
  <c r="AX15"/>
  <c r="I15"/>
  <c r="BI14"/>
  <c r="AE14" s="1"/>
  <c r="AX14"/>
  <c r="I14"/>
  <c r="AW13"/>
  <c r="L43"/>
  <c r="BF43" s="1"/>
  <c r="BI42"/>
  <c r="AO42"/>
  <c r="I42"/>
  <c r="J41"/>
  <c r="AL41" s="1"/>
  <c r="AX40"/>
  <c r="AS38"/>
  <c r="L38"/>
  <c r="AW36"/>
  <c r="AW34"/>
  <c r="J31"/>
  <c r="AL31" s="1"/>
  <c r="BJ29"/>
  <c r="AO29"/>
  <c r="AW29" s="1"/>
  <c r="BJ25"/>
  <c r="H25"/>
  <c r="BH20"/>
  <c r="AD20" s="1"/>
  <c r="AX20"/>
  <c r="J20"/>
  <c r="AL20" s="1"/>
  <c r="BJ19"/>
  <c r="AW19"/>
  <c r="J19"/>
  <c r="AL19" s="1"/>
  <c r="BJ18"/>
  <c r="AW18"/>
  <c r="BC18" s="1"/>
  <c r="J18"/>
  <c r="AL18" s="1"/>
  <c r="BJ17"/>
  <c r="AW17"/>
  <c r="J17"/>
  <c r="AL17" s="1"/>
  <c r="BJ16"/>
  <c r="AW16"/>
  <c r="J16"/>
  <c r="AL16" s="1"/>
  <c r="BJ15"/>
  <c r="AW15"/>
  <c r="J15"/>
  <c r="AL15" s="1"/>
  <c r="BJ14"/>
  <c r="AW14"/>
  <c r="BC14" s="1"/>
  <c r="J14"/>
  <c r="AL14" s="1"/>
  <c r="I13"/>
  <c r="AT32"/>
  <c r="L32"/>
  <c r="H30"/>
  <c r="H26"/>
  <c r="AS24"/>
  <c r="J43"/>
  <c r="AL43" s="1"/>
  <c r="L42"/>
  <c r="BF42" s="1"/>
  <c r="BH41"/>
  <c r="I40"/>
  <c r="AO37"/>
  <c r="AS32"/>
  <c r="H31"/>
  <c r="H27"/>
  <c r="AT24"/>
  <c r="J25"/>
  <c r="BI23"/>
  <c r="AE23" s="1"/>
  <c r="AW23"/>
  <c r="BI21"/>
  <c r="AE21" s="1"/>
  <c r="BH19"/>
  <c r="AD19" s="1"/>
  <c r="H19"/>
  <c r="BH18"/>
  <c r="AD18" s="1"/>
  <c r="H18"/>
  <c r="BH17"/>
  <c r="AD17" s="1"/>
  <c r="H17"/>
  <c r="BH16"/>
  <c r="AD16" s="1"/>
  <c r="H16"/>
  <c r="BH15"/>
  <c r="AD15" s="1"/>
  <c r="H15"/>
  <c r="BH14"/>
  <c r="AD14" s="1"/>
  <c r="H14"/>
  <c r="H12" s="1"/>
  <c r="BH13"/>
  <c r="AD13" s="1"/>
  <c r="AS12"/>
  <c r="J13"/>
  <c r="C19" i="3"/>
  <c r="C21"/>
  <c r="AP39" i="4"/>
  <c r="AT38"/>
  <c r="C14" i="3"/>
  <c r="AO39" i="4"/>
  <c r="I39"/>
  <c r="C15" i="3"/>
  <c r="C28"/>
  <c r="F28" s="1"/>
  <c r="C18"/>
  <c r="AV19" i="4"/>
  <c r="BC19"/>
  <c r="AV17"/>
  <c r="BC17"/>
  <c r="AV16"/>
  <c r="BC16"/>
  <c r="AV15"/>
  <c r="BC15"/>
  <c r="AV20"/>
  <c r="BC20"/>
  <c r="AV41"/>
  <c r="BC41"/>
  <c r="AV23"/>
  <c r="BC23"/>
  <c r="AV21"/>
  <c r="BC21"/>
  <c r="AL39"/>
  <c r="AU38" s="1"/>
  <c r="AV40"/>
  <c r="BC40"/>
  <c r="BC35"/>
  <c r="AV13"/>
  <c r="L12"/>
  <c r="J37"/>
  <c r="AL37" s="1"/>
  <c r="J36"/>
  <c r="AL36" s="1"/>
  <c r="J35"/>
  <c r="AL35" s="1"/>
  <c r="J34"/>
  <c r="AL34" s="1"/>
  <c r="J33"/>
  <c r="I31"/>
  <c r="I30"/>
  <c r="I29"/>
  <c r="I28"/>
  <c r="I27"/>
  <c r="I26"/>
  <c r="I25"/>
  <c r="BC13"/>
  <c r="AT12"/>
  <c r="H42"/>
  <c r="H41"/>
  <c r="H40"/>
  <c r="H39"/>
  <c r="I21"/>
  <c r="H43"/>
  <c r="BJ43"/>
  <c r="AH43" s="1"/>
  <c r="BD43"/>
  <c r="BJ42"/>
  <c r="AH42" s="1"/>
  <c r="BD42"/>
  <c r="BJ41"/>
  <c r="AH41" s="1"/>
  <c r="BD41"/>
  <c r="BJ40"/>
  <c r="AH40" s="1"/>
  <c r="BD40"/>
  <c r="BJ39"/>
  <c r="AH39" s="1"/>
  <c r="C20" i="3" s="1"/>
  <c r="BD39" i="4"/>
  <c r="AP37"/>
  <c r="AX37" s="1"/>
  <c r="AP36"/>
  <c r="AX36" s="1"/>
  <c r="BC36" s="1"/>
  <c r="H36"/>
  <c r="AP35"/>
  <c r="AX35" s="1"/>
  <c r="AV35" s="1"/>
  <c r="H35"/>
  <c r="BI34"/>
  <c r="AE34" s="1"/>
  <c r="AP34"/>
  <c r="AX34" s="1"/>
  <c r="BC34" s="1"/>
  <c r="H34"/>
  <c r="AP33"/>
  <c r="AX33" s="1"/>
  <c r="AV33" s="1"/>
  <c r="H33"/>
  <c r="BH31"/>
  <c r="AD31" s="1"/>
  <c r="AX31"/>
  <c r="BC31" s="1"/>
  <c r="L31"/>
  <c r="BF31" s="1"/>
  <c r="BH30"/>
  <c r="AD30" s="1"/>
  <c r="AX30"/>
  <c r="AV30" s="1"/>
  <c r="L30"/>
  <c r="BF30" s="1"/>
  <c r="BH29"/>
  <c r="AD29" s="1"/>
  <c r="AX29"/>
  <c r="AV29" s="1"/>
  <c r="L29"/>
  <c r="BF29" s="1"/>
  <c r="BH28"/>
  <c r="AD28" s="1"/>
  <c r="AX28"/>
  <c r="BC28" s="1"/>
  <c r="L28"/>
  <c r="BF28" s="1"/>
  <c r="BH27"/>
  <c r="AD27" s="1"/>
  <c r="AX27"/>
  <c r="AV27" s="1"/>
  <c r="L27"/>
  <c r="BF27" s="1"/>
  <c r="BH26"/>
  <c r="AD26" s="1"/>
  <c r="AX26"/>
  <c r="BC26" s="1"/>
  <c r="L26"/>
  <c r="BF26" s="1"/>
  <c r="BH25"/>
  <c r="AD25" s="1"/>
  <c r="AX25"/>
  <c r="AV25" s="1"/>
  <c r="L25"/>
  <c r="C27" i="3"/>
  <c r="AP43" i="4"/>
  <c r="BF39"/>
  <c r="L13" i="2" s="1"/>
  <c r="BJ37" i="4"/>
  <c r="BJ36"/>
  <c r="BJ35"/>
  <c r="BJ34"/>
  <c r="BJ33"/>
  <c r="BI31"/>
  <c r="AE31" s="1"/>
  <c r="BI30"/>
  <c r="AE30" s="1"/>
  <c r="BI29"/>
  <c r="AE29" s="1"/>
  <c r="BI28"/>
  <c r="AE28" s="1"/>
  <c r="BI27"/>
  <c r="AE27" s="1"/>
  <c r="BI26"/>
  <c r="AE26" s="1"/>
  <c r="BI25"/>
  <c r="AE25" s="1"/>
  <c r="BH37" l="1"/>
  <c r="AD37" s="1"/>
  <c r="AW37"/>
  <c r="J24"/>
  <c r="AL25"/>
  <c r="AU24" s="1"/>
  <c r="J38"/>
  <c r="AX22"/>
  <c r="I22"/>
  <c r="BI22"/>
  <c r="AE22" s="1"/>
  <c r="I12"/>
  <c r="AV37"/>
  <c r="H37"/>
  <c r="AV31"/>
  <c r="I36"/>
  <c r="AV14"/>
  <c r="AV18"/>
  <c r="H29"/>
  <c r="H24" s="1"/>
  <c r="J12"/>
  <c r="AL13"/>
  <c r="AU12" s="1"/>
  <c r="AW42"/>
  <c r="BH42"/>
  <c r="C16" i="3"/>
  <c r="BI36" i="4"/>
  <c r="AE36" s="1"/>
  <c r="H38"/>
  <c r="BC25"/>
  <c r="I12" i="2"/>
  <c r="AW39" i="4"/>
  <c r="BH39"/>
  <c r="AX39"/>
  <c r="BI39"/>
  <c r="BI43"/>
  <c r="AX43"/>
  <c r="L24"/>
  <c r="BF25"/>
  <c r="L12" i="2" s="1"/>
  <c r="BI37" i="4"/>
  <c r="AE37" s="1"/>
  <c r="I24"/>
  <c r="BC30"/>
  <c r="BC33"/>
  <c r="I35"/>
  <c r="AV36"/>
  <c r="J32"/>
  <c r="J44" s="1"/>
  <c r="AL33"/>
  <c r="BI33"/>
  <c r="AE33" s="1"/>
  <c r="BC37"/>
  <c r="AV26"/>
  <c r="AV28"/>
  <c r="BC29"/>
  <c r="I43"/>
  <c r="I38" s="1"/>
  <c r="J12" i="2"/>
  <c r="BC27" i="4"/>
  <c r="I33"/>
  <c r="AV34"/>
  <c r="H32"/>
  <c r="BI35"/>
  <c r="AE35" s="1"/>
  <c r="C17" i="3" s="1"/>
  <c r="C22" s="1"/>
  <c r="I34" i="4"/>
  <c r="I37"/>
  <c r="BC22" l="1"/>
  <c r="AV22"/>
  <c r="AV42"/>
  <c r="BC42"/>
  <c r="K12" i="2"/>
  <c r="N12" s="1"/>
  <c r="BC39" i="4"/>
  <c r="AV39"/>
  <c r="I13" i="2"/>
  <c r="I32" i="4"/>
  <c r="AU32"/>
  <c r="C29" i="3"/>
  <c r="BC43" i="4"/>
  <c r="J13" i="2"/>
  <c r="AV43" i="4"/>
  <c r="K13" i="2" s="1"/>
  <c r="N13" s="1"/>
  <c r="K14" s="1"/>
  <c r="F29" i="3" l="1"/>
  <c r="I28"/>
  <c r="I29" l="1"/>
</calcChain>
</file>

<file path=xl/sharedStrings.xml><?xml version="1.0" encoding="utf-8"?>
<sst xmlns="http://schemas.openxmlformats.org/spreadsheetml/2006/main" count="579" uniqueCount="204">
  <si>
    <t>Stavební rozpočet</t>
  </si>
  <si>
    <t>Název stavby:</t>
  </si>
  <si>
    <t>Druh stavby:</t>
  </si>
  <si>
    <t>Lokalita:</t>
  </si>
  <si>
    <t>JKSO:</t>
  </si>
  <si>
    <t>Č</t>
  </si>
  <si>
    <t xml:space="preserve"> 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</si>
  <si>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</si>
  <si>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</si>
  <si>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</si>
  <si>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</si>
  <si>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</si>
  <si>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</si>
  <si>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</si>
  <si>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</si>
  <si>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</si>
  <si>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</si>
  <si>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</si>
  <si>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</si>
  <si>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</si>
  <si>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</si>
  <si>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</si>
  <si>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</si>
  <si>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</si>
  <si>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</si>
  <si>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</si>
  <si>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</si>
  <si>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</si>
  <si>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</si>
  <si>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</si>
  <si>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</si>
  <si>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</si>
  <si>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</si>
  <si>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</si>
  <si>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</si>
  <si>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Kód</t>
  </si>
  <si>
    <t>721</t>
  </si>
  <si>
    <t>721140915R00</t>
  </si>
  <si>
    <t>721140925R00</t>
  </si>
  <si>
    <t>721140935R00</t>
  </si>
  <si>
    <t>721176103R00</t>
  </si>
  <si>
    <t>721176222R00</t>
  </si>
  <si>
    <t>721194105R00</t>
  </si>
  <si>
    <t>721194109R00</t>
  </si>
  <si>
    <t>721273180R00</t>
  </si>
  <si>
    <t>721290111R00</t>
  </si>
  <si>
    <t>721VD</t>
  </si>
  <si>
    <t>721-1VD</t>
  </si>
  <si>
    <t>722</t>
  </si>
  <si>
    <t>722131916R00</t>
  </si>
  <si>
    <t>722235123R00</t>
  </si>
  <si>
    <t>722172312R00</t>
  </si>
  <si>
    <t>722190401R00</t>
  </si>
  <si>
    <t>722181212RT8</t>
  </si>
  <si>
    <t>722290234R00</t>
  </si>
  <si>
    <t>722290226R00</t>
  </si>
  <si>
    <t>725</t>
  </si>
  <si>
    <t>725829202R00</t>
  </si>
  <si>
    <t>725860182R00</t>
  </si>
  <si>
    <t>725980113R00</t>
  </si>
  <si>
    <t>725339101R00</t>
  </si>
  <si>
    <t>725-001VD</t>
  </si>
  <si>
    <t>900-01VD</t>
  </si>
  <si>
    <t>900-02VDVD</t>
  </si>
  <si>
    <t>900-03VDVD</t>
  </si>
  <si>
    <t>64271106</t>
  </si>
  <si>
    <t>900-04VDVD</t>
  </si>
  <si>
    <t>Zkrácený popis</t>
  </si>
  <si>
    <t>Vnitřní kanalizace</t>
  </si>
  <si>
    <t>Oprava-propoj.dosavadního potrubí litinového DN100</t>
  </si>
  <si>
    <t>Oprava potrubí litinového, krácení trub DN 100</t>
  </si>
  <si>
    <t>Oprava - přechod z plastových trub na litinu DN100</t>
  </si>
  <si>
    <t>Potrubí HT připojovací D 50 x 1,8 mm</t>
  </si>
  <si>
    <t>Potrubí KG svodné (ležaté) v zemi D 110 x 3,2 mm</t>
  </si>
  <si>
    <t>Vyvedení odpadních výpustek D 50 x 1,8</t>
  </si>
  <si>
    <t>Vyvedení odpadních výpustek D 110 x 2,3</t>
  </si>
  <si>
    <t>Ventil přivzdušňovací podomítkový HL904</t>
  </si>
  <si>
    <t>Zkouška těsnosti kanalizace vodou DN 125</t>
  </si>
  <si>
    <t>Šoupátko PVC DN50</t>
  </si>
  <si>
    <t>Šoupátko PVC DN100</t>
  </si>
  <si>
    <t>Vnitřní vodovod</t>
  </si>
  <si>
    <t>Oprava-potrubí závitové,vsazení odbočky DN 50</t>
  </si>
  <si>
    <t>Kohout vod.kul,vnitřní-vnitřní z. IVAR.KK 51 DN 25</t>
  </si>
  <si>
    <t>Potrubí z PPR, D 25x3,5 mm, PN 16, vč.zed.výpom.</t>
  </si>
  <si>
    <t>Vyvedení a upevnění výpustek DN 15</t>
  </si>
  <si>
    <t>Izolace návleková MIRELON PRO tl. stěny 9 mm</t>
  </si>
  <si>
    <t>Proplach a dezinfekce vodovod.potrubí DN 80</t>
  </si>
  <si>
    <t>Zkouška tlaku potrubí závitového DN 50</t>
  </si>
  <si>
    <t>Zařizovací předměty</t>
  </si>
  <si>
    <t>Montáž baterie umyv.a dřezové nástěnné</t>
  </si>
  <si>
    <t>Sifon pračkový HL405, D 40/50 mm</t>
  </si>
  <si>
    <t>Dvířka vanová 300 x 300 mm</t>
  </si>
  <si>
    <t>Montáž výlevky diturvitové, bez nádrže a armatur</t>
  </si>
  <si>
    <t>Montáž přečerpávací stanice, uvedení do provozu</t>
  </si>
  <si>
    <t>Ostatní materiál</t>
  </si>
  <si>
    <t>Drobný spojovací a kotevní materiál</t>
  </si>
  <si>
    <t>Podpůrný žlab PPR25 - 2m</t>
  </si>
  <si>
    <t>Baterie nástěnná BALLETTO BAL 85042</t>
  </si>
  <si>
    <t>Výlevka keramická 34x54 cm bílá zadní</t>
  </si>
  <si>
    <t>Přečerpávací stanice SANICUBIC 1MN</t>
  </si>
  <si>
    <t>Doba výstavby:</t>
  </si>
  <si>
    <t>Začátek výstavby:</t>
  </si>
  <si>
    <t>Konec výstavby:</t>
  </si>
  <si>
    <t>Zpracováno dne:</t>
  </si>
  <si>
    <t>MJ</t>
  </si>
  <si>
    <t>kus</t>
  </si>
  <si>
    <t>m</t>
  </si>
  <si>
    <t>ks</t>
  </si>
  <si>
    <t>soubor</t>
  </si>
  <si>
    <t>sou</t>
  </si>
  <si>
    <t>Množství</t>
  </si>
  <si>
    <t>Jednotková cena (Kč)</t>
  </si>
  <si>
    <t>Celkem:</t>
  </si>
  <si>
    <t>Objednatel:</t>
  </si>
  <si>
    <t>Projektant:</t>
  </si>
  <si>
    <t>Zhotovitel:</t>
  </si>
  <si>
    <t>Zpracoval:</t>
  </si>
  <si>
    <t>Náklady celkem (Kč)</t>
  </si>
  <si>
    <t>Stavební rozpočet - Jen skupiny</t>
  </si>
  <si>
    <t>Objekt</t>
  </si>
  <si>
    <t>Poznámka:</t>
  </si>
  <si>
    <t>72</t>
  </si>
  <si>
    <t>Zdravotně technické instalace</t>
  </si>
  <si>
    <t>Náklady (Kč)</t>
  </si>
  <si>
    <t>Dodávka</t>
  </si>
  <si>
    <t>Montáž</t>
  </si>
  <si>
    <t>Celkem</t>
  </si>
  <si>
    <t>Hmotnost (t)</t>
  </si>
  <si>
    <t>T</t>
  </si>
  <si>
    <t>Rozpočtové náklady v Kč</t>
  </si>
  <si>
    <t>A</t>
  </si>
  <si>
    <t>HSV</t>
  </si>
  <si>
    <t>PSV</t>
  </si>
  <si>
    <t>"M"</t>
  </si>
  <si>
    <t>Přesun hmot a sutí</t>
  </si>
  <si>
    <t>ZRN celkem</t>
  </si>
  <si>
    <t>Základ 0%</t>
  </si>
  <si>
    <t>Základ 15%</t>
  </si>
  <si>
    <t>Základ 21%</t>
  </si>
  <si>
    <t>Projektant</t>
  </si>
  <si>
    <t>Datum, razítko a podpis</t>
  </si>
  <si>
    <t>Základní rozpočtové náklady</t>
  </si>
  <si>
    <t>Dodávky</t>
  </si>
  <si>
    <t>Krycí list rozpočtu</t>
  </si>
  <si>
    <t>B</t>
  </si>
  <si>
    <t>Práce přesčas</t>
  </si>
  <si>
    <t>Bez pevné podl.</t>
  </si>
  <si>
    <t>Kulturní památka</t>
  </si>
  <si>
    <t>DN celkem</t>
  </si>
  <si>
    <t>DN celkem z obj.</t>
  </si>
  <si>
    <t>DPH 15%</t>
  </si>
  <si>
    <t>DPH 21%</t>
  </si>
  <si>
    <t>Objednatel</t>
  </si>
  <si>
    <t>Doplňkové náklady</t>
  </si>
  <si>
    <t>C</t>
  </si>
  <si>
    <t>Zařízení staveniště</t>
  </si>
  <si>
    <t>Mimostav. doprava</t>
  </si>
  <si>
    <t>Územní vlivy</t>
  </si>
  <si>
    <t>Provozní vlivy</t>
  </si>
  <si>
    <t>Ostatní</t>
  </si>
  <si>
    <t>NUS z rozpočtu</t>
  </si>
  <si>
    <t>NUS celkem</t>
  </si>
  <si>
    <t>NUS celkem z obj.</t>
  </si>
  <si>
    <t>ORN celkem</t>
  </si>
  <si>
    <t>ORN celkem z obj.</t>
  </si>
  <si>
    <t>Celkem bez DPH</t>
  </si>
  <si>
    <t>Celkem včetně DPH</t>
  </si>
  <si>
    <t>Zhotovitel</t>
  </si>
  <si>
    <t>IČ/DIČ:</t>
  </si>
  <si>
    <t>Položek:</t>
  </si>
  <si>
    <t>Datum:</t>
  </si>
  <si>
    <t>Náklady na umístění stavby (NUS)</t>
  </si>
  <si>
    <t>Výpravní budova ŽST Kořenov</t>
  </si>
  <si>
    <t>ZTI pro místnost OP05</t>
  </si>
  <si>
    <t>Kořenov 801, 468 49 Kořenov</t>
  </si>
  <si>
    <t>Rozměry</t>
  </si>
  <si>
    <t>Cena/MJ</t>
  </si>
  <si>
    <t>(Kč)</t>
  </si>
  <si>
    <t>14.08.2022</t>
  </si>
  <si>
    <t> </t>
  </si>
  <si>
    <t>Jednot.</t>
  </si>
  <si>
    <t>Cenová</t>
  </si>
  <si>
    <t>soustava</t>
  </si>
  <si>
    <t>RTS II / 2019</t>
  </si>
  <si>
    <t>Přesuny</t>
  </si>
  <si>
    <t>Typ skupiny</t>
  </si>
  <si>
    <t>HSV mat</t>
  </si>
  <si>
    <t>HSV prac</t>
  </si>
  <si>
    <t>PSV mat</t>
  </si>
  <si>
    <t>PSV prac</t>
  </si>
  <si>
    <t>Mont mat</t>
  </si>
  <si>
    <t>Mont prac</t>
  </si>
  <si>
    <t>Ostatní mat.</t>
  </si>
  <si>
    <t>0</t>
  </si>
  <si>
    <t>721_</t>
  </si>
  <si>
    <t>722_</t>
  </si>
  <si>
    <t>725_</t>
  </si>
  <si>
    <t>Z99999_</t>
  </si>
  <si>
    <t>72_</t>
  </si>
  <si>
    <t>Z_</t>
  </si>
  <si>
    <t>_</t>
  </si>
  <si>
    <t>MAT</t>
  </si>
  <si>
    <t>WORK</t>
  </si>
  <si>
    <t>CELK</t>
  </si>
</sst>
</file>

<file path=xl/styles.xml><?xml version="1.0" encoding="utf-8"?>
<styleSheet xmlns="http://schemas.openxmlformats.org/spreadsheetml/2006/main">
  <fonts count="14">
    <font>
      <sz val="10"/>
      <name val="Arial"/>
    </font>
    <font>
      <sz val="10"/>
      <color indexed="8"/>
      <name val="Arial"/>
      <charset val="238"/>
    </font>
    <font>
      <sz val="18"/>
      <color indexed="8"/>
      <name val="Arial"/>
      <charset val="238"/>
    </font>
    <font>
      <b/>
      <sz val="10"/>
      <color indexed="8"/>
      <name val="Arial"/>
      <charset val="238"/>
    </font>
    <font>
      <sz val="10"/>
      <color indexed="61"/>
      <name val="Arial"/>
      <charset val="238"/>
    </font>
    <font>
      <sz val="10"/>
      <color indexed="62"/>
      <name val="Arial"/>
      <charset val="238"/>
    </font>
    <font>
      <b/>
      <sz val="10"/>
      <color indexed="56"/>
      <name val="Arial"/>
      <charset val="238"/>
    </font>
    <font>
      <i/>
      <sz val="8"/>
      <color indexed="8"/>
      <name val="Arial"/>
      <charset val="238"/>
    </font>
    <font>
      <b/>
      <sz val="18"/>
      <color indexed="8"/>
      <name val="Arial"/>
      <charset val="238"/>
    </font>
    <font>
      <b/>
      <sz val="20"/>
      <color indexed="8"/>
      <name val="Arial"/>
      <charset val="238"/>
    </font>
    <font>
      <b/>
      <sz val="12"/>
      <color indexed="8"/>
      <name val="Arial"/>
      <charset val="238"/>
    </font>
    <font>
      <sz val="12"/>
      <color indexed="8"/>
      <name val="Arial"/>
      <charset val="238"/>
    </font>
    <font>
      <b/>
      <sz val="11"/>
      <color indexed="8"/>
      <name val="Arial"/>
      <charset val="238"/>
    </font>
    <font>
      <sz val="10"/>
      <color indexed="56"/>
      <name val="Arial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57"/>
        <bgColor indexed="9"/>
      </patternFill>
    </fill>
    <fill>
      <patternFill patternType="solid">
        <fgColor indexed="22"/>
        <bgColor indexed="9"/>
      </patternFill>
    </fill>
  </fills>
  <borders count="4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36">
    <xf numFmtId="0" fontId="1" fillId="0" borderId="0" xfId="0" applyFont="1" applyAlignment="1">
      <alignment vertical="center"/>
    </xf>
    <xf numFmtId="49" fontId="3" fillId="0" borderId="5" xfId="0" applyNumberFormat="1" applyFont="1" applyFill="1" applyBorder="1" applyAlignment="1" applyProtection="1">
      <alignment horizontal="left" vertical="center"/>
    </xf>
    <xf numFmtId="49" fontId="3" fillId="2" borderId="6" xfId="0" applyNumberFormat="1" applyFont="1" applyFill="1" applyBorder="1" applyAlignment="1" applyProtection="1">
      <alignment horizontal="left" vertical="center"/>
    </xf>
    <xf numFmtId="49" fontId="4" fillId="0" borderId="0" xfId="0" applyNumberFormat="1" applyFont="1" applyFill="1" applyBorder="1" applyAlignment="1" applyProtection="1">
      <alignment horizontal="left" vertical="center"/>
    </xf>
    <xf numFmtId="49" fontId="3" fillId="2" borderId="0" xfId="0" applyNumberFormat="1" applyFont="1" applyFill="1" applyBorder="1" applyAlignment="1" applyProtection="1">
      <alignment horizontal="left" vertical="center"/>
    </xf>
    <xf numFmtId="49" fontId="5" fillId="0" borderId="0" xfId="0" applyNumberFormat="1" applyFont="1" applyFill="1" applyBorder="1" applyAlignment="1" applyProtection="1">
      <alignment horizontal="left" vertical="center"/>
    </xf>
    <xf numFmtId="0" fontId="3" fillId="2" borderId="6" xfId="0" applyNumberFormat="1" applyFont="1" applyFill="1" applyBorder="1" applyAlignment="1" applyProtection="1">
      <alignment horizontal="left" vertical="center" wrapText="1"/>
    </xf>
    <xf numFmtId="0" fontId="4" fillId="0" borderId="0" xfId="0" applyNumberFormat="1" applyFont="1" applyFill="1" applyBorder="1" applyAlignment="1" applyProtection="1">
      <alignment horizontal="left" vertical="center" wrapText="1"/>
    </xf>
    <xf numFmtId="0" fontId="3" fillId="2" borderId="0" xfId="0" applyNumberFormat="1" applyFont="1" applyFill="1" applyBorder="1" applyAlignment="1" applyProtection="1">
      <alignment horizontal="left" vertical="center" wrapText="1"/>
    </xf>
    <xf numFmtId="0" fontId="5" fillId="0" borderId="0" xfId="0" applyNumberFormat="1" applyFont="1" applyFill="1" applyBorder="1" applyAlignment="1" applyProtection="1">
      <alignment horizontal="left" vertical="center" wrapText="1"/>
    </xf>
    <xf numFmtId="49" fontId="1" fillId="0" borderId="0" xfId="0" applyNumberFormat="1" applyFont="1" applyFill="1" applyBorder="1" applyAlignment="1" applyProtection="1">
      <alignment horizontal="left" vertical="center"/>
    </xf>
    <xf numFmtId="49" fontId="3" fillId="2" borderId="6" xfId="0" applyNumberFormat="1" applyFont="1" applyFill="1" applyBorder="1" applyAlignment="1" applyProtection="1">
      <alignment horizontal="right" vertical="center"/>
    </xf>
    <xf numFmtId="4" fontId="4" fillId="0" borderId="0" xfId="0" applyNumberFormat="1" applyFont="1" applyFill="1" applyBorder="1" applyAlignment="1" applyProtection="1">
      <alignment horizontal="right" vertical="center"/>
    </xf>
    <xf numFmtId="49" fontId="3" fillId="2" borderId="0" xfId="0" applyNumberFormat="1" applyFont="1" applyFill="1" applyBorder="1" applyAlignment="1" applyProtection="1">
      <alignment horizontal="right" vertical="center"/>
    </xf>
    <xf numFmtId="4" fontId="5" fillId="0" borderId="0" xfId="0" applyNumberFormat="1" applyFont="1" applyFill="1" applyBorder="1" applyAlignment="1" applyProtection="1">
      <alignment horizontal="right" vertical="center"/>
    </xf>
    <xf numFmtId="49" fontId="3" fillId="0" borderId="0" xfId="0" applyNumberFormat="1" applyFont="1" applyFill="1" applyBorder="1" applyAlignment="1" applyProtection="1">
      <alignment horizontal="left" vertical="center"/>
    </xf>
    <xf numFmtId="49" fontId="3" fillId="0" borderId="8" xfId="0" applyNumberFormat="1" applyFont="1" applyFill="1" applyBorder="1" applyAlignment="1" applyProtection="1">
      <alignment horizontal="left" vertical="center"/>
    </xf>
    <xf numFmtId="0" fontId="1" fillId="0" borderId="1" xfId="0" applyNumberFormat="1" applyFont="1" applyFill="1" applyBorder="1" applyAlignment="1" applyProtection="1">
      <alignment vertical="center"/>
    </xf>
    <xf numFmtId="0" fontId="1" fillId="0" borderId="2" xfId="0" applyNumberFormat="1" applyFont="1" applyFill="1" applyBorder="1" applyAlignment="1" applyProtection="1">
      <alignment vertical="center"/>
    </xf>
    <xf numFmtId="0" fontId="1" fillId="0" borderId="7" xfId="0" applyNumberFormat="1" applyFont="1" applyFill="1" applyBorder="1" applyAlignment="1" applyProtection="1">
      <alignment vertical="center"/>
    </xf>
    <xf numFmtId="0" fontId="1" fillId="0" borderId="3" xfId="0" applyNumberFormat="1" applyFont="1" applyFill="1" applyBorder="1" applyAlignment="1" applyProtection="1">
      <alignment vertical="center"/>
    </xf>
    <xf numFmtId="4" fontId="3" fillId="2" borderId="6" xfId="0" applyNumberFormat="1" applyFont="1" applyFill="1" applyBorder="1" applyAlignment="1" applyProtection="1">
      <alignment horizontal="right" vertical="center"/>
    </xf>
    <xf numFmtId="4" fontId="3" fillId="2" borderId="0" xfId="0" applyNumberFormat="1" applyFont="1" applyFill="1" applyBorder="1" applyAlignment="1" applyProtection="1">
      <alignment horizontal="right" vertical="center"/>
    </xf>
    <xf numFmtId="4" fontId="6" fillId="2" borderId="0" xfId="0" applyNumberFormat="1" applyFont="1" applyFill="1" applyBorder="1" applyAlignment="1" applyProtection="1">
      <alignment horizontal="right" vertical="center"/>
    </xf>
    <xf numFmtId="4" fontId="3" fillId="0" borderId="0" xfId="0" applyNumberFormat="1" applyFont="1" applyFill="1" applyBorder="1" applyAlignment="1" applyProtection="1">
      <alignment horizontal="right" vertical="center"/>
    </xf>
    <xf numFmtId="4" fontId="4" fillId="0" borderId="0" xfId="0" applyNumberFormat="1" applyFont="1" applyFill="1" applyBorder="1" applyAlignment="1" applyProtection="1">
      <alignment horizontal="left" vertical="center"/>
    </xf>
    <xf numFmtId="4" fontId="5" fillId="0" borderId="0" xfId="0" applyNumberFormat="1" applyFont="1" applyFill="1" applyBorder="1" applyAlignment="1" applyProtection="1">
      <alignment horizontal="left" vertical="center"/>
    </xf>
    <xf numFmtId="49" fontId="1" fillId="0" borderId="13" xfId="0" applyNumberFormat="1" applyFont="1" applyFill="1" applyBorder="1" applyAlignment="1" applyProtection="1">
      <alignment horizontal="left" vertical="center"/>
    </xf>
    <xf numFmtId="49" fontId="3" fillId="0" borderId="14" xfId="0" applyNumberFormat="1" applyFont="1" applyFill="1" applyBorder="1" applyAlignment="1" applyProtection="1">
      <alignment horizontal="left" vertical="center"/>
    </xf>
    <xf numFmtId="49" fontId="1" fillId="0" borderId="6" xfId="0" applyNumberFormat="1" applyFont="1" applyFill="1" applyBorder="1" applyAlignment="1" applyProtection="1">
      <alignment horizontal="left" vertical="center"/>
    </xf>
    <xf numFmtId="49" fontId="1" fillId="0" borderId="1" xfId="0" applyNumberFormat="1" applyFont="1" applyFill="1" applyBorder="1" applyAlignment="1" applyProtection="1">
      <alignment horizontal="left" vertical="center"/>
    </xf>
    <xf numFmtId="49" fontId="7" fillId="0" borderId="0" xfId="0" applyNumberFormat="1" applyFont="1" applyFill="1" applyBorder="1" applyAlignment="1" applyProtection="1">
      <alignment horizontal="left" vertical="center"/>
    </xf>
    <xf numFmtId="49" fontId="3" fillId="0" borderId="8" xfId="0" applyNumberFormat="1" applyFont="1" applyFill="1" applyBorder="1" applyAlignment="1" applyProtection="1">
      <alignment horizontal="center" vertical="center"/>
    </xf>
    <xf numFmtId="4" fontId="1" fillId="0" borderId="6" xfId="0" applyNumberFormat="1" applyFont="1" applyFill="1" applyBorder="1" applyAlignment="1" applyProtection="1">
      <alignment horizontal="right" vertical="center"/>
    </xf>
    <xf numFmtId="4" fontId="1" fillId="0" borderId="1" xfId="0" applyNumberFormat="1" applyFont="1" applyFill="1" applyBorder="1" applyAlignment="1" applyProtection="1">
      <alignment horizontal="right" vertical="center"/>
    </xf>
    <xf numFmtId="49" fontId="3" fillId="0" borderId="21" xfId="0" applyNumberFormat="1" applyFont="1" applyFill="1" applyBorder="1" applyAlignment="1" applyProtection="1">
      <alignment horizontal="center" vertical="center"/>
    </xf>
    <xf numFmtId="49" fontId="3" fillId="0" borderId="24" xfId="0" applyNumberFormat="1" applyFont="1" applyFill="1" applyBorder="1" applyAlignment="1" applyProtection="1">
      <alignment horizontal="center" vertical="center"/>
    </xf>
    <xf numFmtId="49" fontId="3" fillId="0" borderId="25" xfId="0" applyNumberFormat="1" applyFont="1" applyFill="1" applyBorder="1" applyAlignment="1" applyProtection="1">
      <alignment horizontal="center" vertical="center"/>
    </xf>
    <xf numFmtId="0" fontId="1" fillId="0" borderId="26" xfId="0" applyNumberFormat="1" applyFont="1" applyFill="1" applyBorder="1" applyAlignment="1" applyProtection="1">
      <alignment vertical="center"/>
    </xf>
    <xf numFmtId="4" fontId="1" fillId="0" borderId="0" xfId="0" applyNumberFormat="1" applyFont="1" applyFill="1" applyBorder="1" applyAlignment="1" applyProtection="1">
      <alignment horizontal="right" vertical="center"/>
    </xf>
    <xf numFmtId="4" fontId="3" fillId="0" borderId="7" xfId="0" applyNumberFormat="1" applyFont="1" applyFill="1" applyBorder="1" applyAlignment="1" applyProtection="1">
      <alignment horizontal="right" vertical="center"/>
    </xf>
    <xf numFmtId="49" fontId="9" fillId="3" borderId="28" xfId="0" applyNumberFormat="1" applyFont="1" applyFill="1" applyBorder="1" applyAlignment="1" applyProtection="1">
      <alignment horizontal="center" vertical="center"/>
    </xf>
    <xf numFmtId="49" fontId="10" fillId="0" borderId="29" xfId="0" applyNumberFormat="1" applyFont="1" applyFill="1" applyBorder="1" applyAlignment="1" applyProtection="1">
      <alignment horizontal="left" vertical="center"/>
    </xf>
    <xf numFmtId="49" fontId="10" fillId="0" borderId="30" xfId="0" applyNumberFormat="1" applyFont="1" applyFill="1" applyBorder="1" applyAlignment="1" applyProtection="1">
      <alignment horizontal="left" vertical="center"/>
    </xf>
    <xf numFmtId="0" fontId="1" fillId="0" borderId="32" xfId="0" applyNumberFormat="1" applyFont="1" applyFill="1" applyBorder="1" applyAlignment="1" applyProtection="1">
      <alignment vertical="center"/>
    </xf>
    <xf numFmtId="49" fontId="7" fillId="0" borderId="6" xfId="0" applyNumberFormat="1" applyFont="1" applyFill="1" applyBorder="1" applyAlignment="1" applyProtection="1">
      <alignment horizontal="left" vertical="center"/>
    </xf>
    <xf numFmtId="49" fontId="11" fillId="0" borderId="28" xfId="0" applyNumberFormat="1" applyFont="1" applyFill="1" applyBorder="1" applyAlignment="1" applyProtection="1">
      <alignment horizontal="left" vertical="center"/>
    </xf>
    <xf numFmtId="0" fontId="1" fillId="0" borderId="6" xfId="0" applyNumberFormat="1" applyFont="1" applyFill="1" applyBorder="1" applyAlignment="1" applyProtection="1">
      <alignment vertical="center"/>
    </xf>
    <xf numFmtId="0" fontId="1" fillId="0" borderId="9" xfId="0" applyNumberFormat="1" applyFont="1" applyFill="1" applyBorder="1" applyAlignment="1" applyProtection="1">
      <alignment vertical="center"/>
    </xf>
    <xf numFmtId="0" fontId="1" fillId="0" borderId="4" xfId="0" applyNumberFormat="1" applyFont="1" applyFill="1" applyBorder="1" applyAlignment="1" applyProtection="1">
      <alignment vertical="center"/>
    </xf>
    <xf numFmtId="4" fontId="11" fillId="0" borderId="28" xfId="0" applyNumberFormat="1" applyFont="1" applyFill="1" applyBorder="1" applyAlignment="1" applyProtection="1">
      <alignment horizontal="right" vertical="center"/>
    </xf>
    <xf numFmtId="49" fontId="11" fillId="0" borderId="28" xfId="0" applyNumberFormat="1" applyFont="1" applyFill="1" applyBorder="1" applyAlignment="1" applyProtection="1">
      <alignment horizontal="right" vertical="center"/>
    </xf>
    <xf numFmtId="4" fontId="11" fillId="0" borderId="21" xfId="0" applyNumberFormat="1" applyFont="1" applyFill="1" applyBorder="1" applyAlignment="1" applyProtection="1">
      <alignment horizontal="right" vertical="center"/>
    </xf>
    <xf numFmtId="0" fontId="1" fillId="0" borderId="37" xfId="0" applyNumberFormat="1" applyFont="1" applyFill="1" applyBorder="1" applyAlignment="1" applyProtection="1">
      <alignment vertical="center"/>
    </xf>
    <xf numFmtId="0" fontId="1" fillId="0" borderId="10" xfId="0" applyNumberFormat="1" applyFont="1" applyFill="1" applyBorder="1" applyAlignment="1" applyProtection="1">
      <alignment vertical="center"/>
    </xf>
    <xf numFmtId="4" fontId="10" fillId="3" borderId="35" xfId="0" applyNumberFormat="1" applyFont="1" applyFill="1" applyBorder="1" applyAlignment="1" applyProtection="1">
      <alignment horizontal="right" vertical="center"/>
    </xf>
    <xf numFmtId="49" fontId="3" fillId="0" borderId="38" xfId="0" applyNumberFormat="1" applyFont="1" applyFill="1" applyBorder="1" applyAlignment="1" applyProtection="1">
      <alignment horizontal="left" vertical="center"/>
    </xf>
    <xf numFmtId="49" fontId="1" fillId="0" borderId="39" xfId="0" applyNumberFormat="1" applyFont="1" applyFill="1" applyBorder="1" applyAlignment="1" applyProtection="1">
      <alignment horizontal="left" vertical="center"/>
    </xf>
    <xf numFmtId="49" fontId="13" fillId="2" borderId="6" xfId="0" applyNumberFormat="1" applyFont="1" applyFill="1" applyBorder="1" applyAlignment="1" applyProtection="1">
      <alignment horizontal="left" vertical="center"/>
    </xf>
    <xf numFmtId="49" fontId="13" fillId="2" borderId="0" xfId="0" applyNumberFormat="1" applyFont="1" applyFill="1" applyBorder="1" applyAlignment="1" applyProtection="1">
      <alignment horizontal="left" vertical="center"/>
    </xf>
    <xf numFmtId="49" fontId="5" fillId="0" borderId="1" xfId="0" applyNumberFormat="1" applyFont="1" applyFill="1" applyBorder="1" applyAlignment="1" applyProtection="1">
      <alignment horizontal="left" vertical="center"/>
    </xf>
    <xf numFmtId="49" fontId="3" fillId="0" borderId="13" xfId="0" applyNumberFormat="1" applyFont="1" applyFill="1" applyBorder="1" applyAlignment="1" applyProtection="1">
      <alignment horizontal="left" vertical="center"/>
    </xf>
    <xf numFmtId="49" fontId="1" fillId="0" borderId="14" xfId="0" applyNumberFormat="1" applyFont="1" applyFill="1" applyBorder="1" applyAlignment="1" applyProtection="1">
      <alignment horizontal="left" vertical="center"/>
    </xf>
    <xf numFmtId="49" fontId="6" fillId="2" borderId="6" xfId="0" applyNumberFormat="1" applyFont="1" applyFill="1" applyBorder="1" applyAlignment="1" applyProtection="1">
      <alignment horizontal="left" vertical="center"/>
    </xf>
    <xf numFmtId="49" fontId="6" fillId="2" borderId="0" xfId="0" applyNumberFormat="1" applyFont="1" applyFill="1" applyBorder="1" applyAlignment="1" applyProtection="1">
      <alignment horizontal="left" vertical="center"/>
    </xf>
    <xf numFmtId="49" fontId="3" fillId="0" borderId="13" xfId="0" applyNumberFormat="1" applyFont="1" applyFill="1" applyBorder="1" applyAlignment="1" applyProtection="1">
      <alignment horizontal="center" vertical="center"/>
    </xf>
    <xf numFmtId="49" fontId="3" fillId="0" borderId="40" xfId="0" applyNumberFormat="1" applyFont="1" applyFill="1" applyBorder="1" applyAlignment="1" applyProtection="1">
      <alignment horizontal="center" vertical="center"/>
    </xf>
    <xf numFmtId="49" fontId="3" fillId="0" borderId="41" xfId="0" applyNumberFormat="1" applyFont="1" applyFill="1" applyBorder="1" applyAlignment="1" applyProtection="1">
      <alignment horizontal="center" vertical="center"/>
    </xf>
    <xf numFmtId="49" fontId="6" fillId="2" borderId="6" xfId="0" applyNumberFormat="1" applyFont="1" applyFill="1" applyBorder="1" applyAlignment="1" applyProtection="1">
      <alignment horizontal="right" vertical="center"/>
    </xf>
    <xf numFmtId="49" fontId="6" fillId="2" borderId="0" xfId="0" applyNumberFormat="1" applyFont="1" applyFill="1" applyBorder="1" applyAlignment="1" applyProtection="1">
      <alignment horizontal="right" vertical="center"/>
    </xf>
    <xf numFmtId="4" fontId="5" fillId="0" borderId="1" xfId="0" applyNumberFormat="1" applyFont="1" applyFill="1" applyBorder="1" applyAlignment="1" applyProtection="1">
      <alignment horizontal="right" vertical="center"/>
    </xf>
    <xf numFmtId="49" fontId="3" fillId="0" borderId="42" xfId="0" applyNumberFormat="1" applyFont="1" applyFill="1" applyBorder="1" applyAlignment="1" applyProtection="1">
      <alignment horizontal="center" vertical="center"/>
    </xf>
    <xf numFmtId="49" fontId="3" fillId="0" borderId="43" xfId="0" applyNumberFormat="1" applyFont="1" applyFill="1" applyBorder="1" applyAlignment="1" applyProtection="1">
      <alignment horizontal="center" vertical="center"/>
    </xf>
    <xf numFmtId="49" fontId="4" fillId="0" borderId="0" xfId="0" applyNumberFormat="1" applyFont="1" applyFill="1" applyBorder="1" applyAlignment="1" applyProtection="1">
      <alignment horizontal="right" vertical="center"/>
    </xf>
    <xf numFmtId="49" fontId="5" fillId="0" borderId="0" xfId="0" applyNumberFormat="1" applyFont="1" applyFill="1" applyBorder="1" applyAlignment="1" applyProtection="1">
      <alignment horizontal="right" vertical="center"/>
    </xf>
    <xf numFmtId="49" fontId="5" fillId="0" borderId="1" xfId="0" applyNumberFormat="1" applyFont="1" applyFill="1" applyBorder="1" applyAlignment="1" applyProtection="1">
      <alignment horizontal="right" vertical="center"/>
    </xf>
    <xf numFmtId="49" fontId="1" fillId="0" borderId="0" xfId="0" applyNumberFormat="1" applyFont="1" applyFill="1" applyBorder="1" applyAlignment="1" applyProtection="1">
      <alignment horizontal="right" vertical="center"/>
    </xf>
    <xf numFmtId="4" fontId="6" fillId="2" borderId="6" xfId="0" applyNumberFormat="1" applyFont="1" applyFill="1" applyBorder="1" applyAlignment="1" applyProtection="1">
      <alignment horizontal="right" vertical="center"/>
    </xf>
    <xf numFmtId="0" fontId="1" fillId="0" borderId="1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 wrapText="1"/>
    </xf>
    <xf numFmtId="0" fontId="1" fillId="0" borderId="0" xfId="0" applyNumberFormat="1" applyFont="1" applyFill="1" applyBorder="1" applyAlignment="1" applyProtection="1">
      <alignment horizontal="left" vertical="center"/>
    </xf>
    <xf numFmtId="0" fontId="1" fillId="0" borderId="10" xfId="0" applyNumberFormat="1" applyFont="1" applyFill="1" applyBorder="1" applyAlignment="1" applyProtection="1">
      <alignment horizontal="left" vertical="center"/>
    </xf>
    <xf numFmtId="0" fontId="1" fillId="0" borderId="1" xfId="0" applyNumberFormat="1" applyFont="1" applyFill="1" applyBorder="1" applyAlignment="1" applyProtection="1">
      <alignment horizontal="left" vertical="center"/>
    </xf>
    <xf numFmtId="0" fontId="1" fillId="0" borderId="11" xfId="0" applyNumberFormat="1" applyFont="1" applyFill="1" applyBorder="1" applyAlignment="1" applyProtection="1">
      <alignment horizontal="left" vertical="center"/>
    </xf>
    <xf numFmtId="0" fontId="1" fillId="0" borderId="3" xfId="0" applyNumberFormat="1" applyFont="1" applyFill="1" applyBorder="1" applyAlignment="1" applyProtection="1">
      <alignment horizontal="left" vertical="center" wrapText="1"/>
    </xf>
    <xf numFmtId="0" fontId="1" fillId="0" borderId="3" xfId="0" applyNumberFormat="1" applyFont="1" applyFill="1" applyBorder="1" applyAlignment="1" applyProtection="1">
      <alignment horizontal="left" vertical="center"/>
    </xf>
    <xf numFmtId="49" fontId="1" fillId="0" borderId="0" xfId="0" applyNumberFormat="1" applyFont="1" applyFill="1" applyBorder="1" applyAlignment="1" applyProtection="1">
      <alignment horizontal="left" vertical="center"/>
    </xf>
    <xf numFmtId="0" fontId="1" fillId="0" borderId="4" xfId="0" applyNumberFormat="1" applyFont="1" applyFill="1" applyBorder="1" applyAlignment="1" applyProtection="1">
      <alignment horizontal="left" vertical="center"/>
    </xf>
    <xf numFmtId="0" fontId="1" fillId="0" borderId="7" xfId="0" applyNumberFormat="1" applyFont="1" applyFill="1" applyBorder="1" applyAlignment="1" applyProtection="1">
      <alignment horizontal="left" vertical="center" wrapText="1"/>
    </xf>
    <xf numFmtId="0" fontId="1" fillId="0" borderId="7" xfId="0" applyNumberFormat="1" applyFont="1" applyFill="1" applyBorder="1" applyAlignment="1" applyProtection="1">
      <alignment horizontal="left" vertical="center"/>
    </xf>
    <xf numFmtId="0" fontId="1" fillId="0" borderId="9" xfId="0" applyNumberFormat="1" applyFont="1" applyFill="1" applyBorder="1" applyAlignment="1" applyProtection="1">
      <alignment horizontal="left" vertical="center"/>
    </xf>
    <xf numFmtId="49" fontId="2" fillId="0" borderId="1" xfId="0" applyNumberFormat="1" applyFont="1" applyFill="1" applyBorder="1" applyAlignment="1" applyProtection="1">
      <alignment horizontal="center"/>
    </xf>
    <xf numFmtId="0" fontId="2" fillId="0" borderId="1" xfId="0" applyNumberFormat="1" applyFont="1" applyFill="1" applyBorder="1" applyAlignment="1" applyProtection="1">
      <alignment horizontal="center" vertical="center"/>
    </xf>
    <xf numFmtId="0" fontId="1" fillId="0" borderId="2" xfId="0" applyNumberFormat="1" applyFont="1" applyFill="1" applyBorder="1" applyAlignment="1" applyProtection="1">
      <alignment horizontal="left" vertical="center" wrapText="1"/>
    </xf>
    <xf numFmtId="0" fontId="3" fillId="0" borderId="7" xfId="0" applyNumberFormat="1" applyFont="1" applyFill="1" applyBorder="1" applyAlignment="1" applyProtection="1">
      <alignment horizontal="left" vertical="center" wrapText="1"/>
    </xf>
    <xf numFmtId="0" fontId="3" fillId="0" borderId="0" xfId="0" applyNumberFormat="1" applyFont="1" applyFill="1" applyBorder="1" applyAlignment="1" applyProtection="1">
      <alignment horizontal="left" vertical="center"/>
    </xf>
    <xf numFmtId="49" fontId="1" fillId="0" borderId="7" xfId="0" applyNumberFormat="1" applyFont="1" applyFill="1" applyBorder="1" applyAlignment="1" applyProtection="1">
      <alignment horizontal="left" vertical="center"/>
    </xf>
    <xf numFmtId="49" fontId="1" fillId="0" borderId="16" xfId="0" applyNumberFormat="1" applyFont="1" applyFill="1" applyBorder="1" applyAlignment="1" applyProtection="1">
      <alignment horizontal="left" vertical="center"/>
    </xf>
    <xf numFmtId="0" fontId="1" fillId="0" borderId="6" xfId="0" applyNumberFormat="1" applyFont="1" applyFill="1" applyBorder="1" applyAlignment="1" applyProtection="1">
      <alignment horizontal="left" vertical="center"/>
    </xf>
    <xf numFmtId="0" fontId="1" fillId="0" borderId="17" xfId="0" applyNumberFormat="1" applyFont="1" applyFill="1" applyBorder="1" applyAlignment="1" applyProtection="1">
      <alignment horizontal="left" vertical="center"/>
    </xf>
    <xf numFmtId="49" fontId="3" fillId="0" borderId="19" xfId="0" applyNumberFormat="1" applyFont="1" applyFill="1" applyBorder="1" applyAlignment="1" applyProtection="1">
      <alignment horizontal="center" vertical="center"/>
    </xf>
    <xf numFmtId="0" fontId="3" fillId="0" borderId="20" xfId="0" applyNumberFormat="1" applyFont="1" applyFill="1" applyBorder="1" applyAlignment="1" applyProtection="1">
      <alignment horizontal="center" vertical="center"/>
    </xf>
    <xf numFmtId="0" fontId="3" fillId="0" borderId="22" xfId="0" applyNumberFormat="1" applyFont="1" applyFill="1" applyBorder="1" applyAlignment="1" applyProtection="1">
      <alignment horizontal="center" vertical="center"/>
    </xf>
    <xf numFmtId="49" fontId="3" fillId="0" borderId="12" xfId="0" applyNumberFormat="1" applyFont="1" applyFill="1" applyBorder="1" applyAlignment="1" applyProtection="1">
      <alignment horizontal="left" vertical="center"/>
    </xf>
    <xf numFmtId="0" fontId="3" fillId="0" borderId="15" xfId="0" applyNumberFormat="1" applyFont="1" applyFill="1" applyBorder="1" applyAlignment="1" applyProtection="1">
      <alignment horizontal="left" vertical="center"/>
    </xf>
    <xf numFmtId="0" fontId="3" fillId="0" borderId="18" xfId="0" applyNumberFormat="1" applyFont="1" applyFill="1" applyBorder="1" applyAlignment="1" applyProtection="1">
      <alignment horizontal="left" vertical="center"/>
    </xf>
    <xf numFmtId="49" fontId="1" fillId="0" borderId="6" xfId="0" applyNumberFormat="1" applyFont="1" applyFill="1" applyBorder="1" applyAlignment="1" applyProtection="1">
      <alignment horizontal="left" vertical="center"/>
    </xf>
    <xf numFmtId="49" fontId="1" fillId="0" borderId="1" xfId="0" applyNumberFormat="1" applyFont="1" applyFill="1" applyBorder="1" applyAlignment="1" applyProtection="1">
      <alignment horizontal="left" vertical="center"/>
    </xf>
    <xf numFmtId="49" fontId="3" fillId="0" borderId="7" xfId="0" applyNumberFormat="1" applyFont="1" applyFill="1" applyBorder="1" applyAlignment="1" applyProtection="1">
      <alignment horizontal="left" vertical="center"/>
    </xf>
    <xf numFmtId="0" fontId="3" fillId="0" borderId="7" xfId="0" applyNumberFormat="1" applyFont="1" applyFill="1" applyBorder="1" applyAlignment="1" applyProtection="1">
      <alignment horizontal="left" vertical="center"/>
    </xf>
    <xf numFmtId="0" fontId="1" fillId="0" borderId="15" xfId="0" applyNumberFormat="1" applyFont="1" applyFill="1" applyBorder="1" applyAlignment="1" applyProtection="1">
      <alignment horizontal="left" vertical="center"/>
    </xf>
    <xf numFmtId="0" fontId="1" fillId="0" borderId="23" xfId="0" applyNumberFormat="1" applyFont="1" applyFill="1" applyBorder="1" applyAlignment="1" applyProtection="1">
      <alignment horizontal="left" vertical="center"/>
    </xf>
    <xf numFmtId="0" fontId="1" fillId="0" borderId="12" xfId="0" applyNumberFormat="1" applyFont="1" applyFill="1" applyBorder="1" applyAlignment="1" applyProtection="1">
      <alignment horizontal="left" vertical="center"/>
    </xf>
    <xf numFmtId="49" fontId="11" fillId="0" borderId="26" xfId="0" applyNumberFormat="1" applyFont="1" applyFill="1" applyBorder="1" applyAlignment="1" applyProtection="1">
      <alignment horizontal="left" vertical="center"/>
    </xf>
    <xf numFmtId="0" fontId="11" fillId="0" borderId="0" xfId="0" applyNumberFormat="1" applyFont="1" applyFill="1" applyBorder="1" applyAlignment="1" applyProtection="1">
      <alignment horizontal="left" vertical="center"/>
    </xf>
    <xf numFmtId="0" fontId="11" fillId="0" borderId="36" xfId="0" applyNumberFormat="1" applyFont="1" applyFill="1" applyBorder="1" applyAlignment="1" applyProtection="1">
      <alignment horizontal="left" vertical="center"/>
    </xf>
    <xf numFmtId="49" fontId="11" fillId="0" borderId="34" xfId="0" applyNumberFormat="1" applyFont="1" applyFill="1" applyBorder="1" applyAlignment="1" applyProtection="1">
      <alignment horizontal="left" vertical="center"/>
    </xf>
    <xf numFmtId="0" fontId="11" fillId="0" borderId="15" xfId="0" applyNumberFormat="1" applyFont="1" applyFill="1" applyBorder="1" applyAlignment="1" applyProtection="1">
      <alignment horizontal="left" vertical="center"/>
    </xf>
    <xf numFmtId="0" fontId="11" fillId="0" borderId="18" xfId="0" applyNumberFormat="1" applyFont="1" applyFill="1" applyBorder="1" applyAlignment="1" applyProtection="1">
      <alignment horizontal="left" vertical="center"/>
    </xf>
    <xf numFmtId="49" fontId="10" fillId="3" borderId="31" xfId="0" applyNumberFormat="1" applyFont="1" applyFill="1" applyBorder="1" applyAlignment="1" applyProtection="1">
      <alignment horizontal="left" vertical="center"/>
    </xf>
    <xf numFmtId="0" fontId="10" fillId="3" borderId="27" xfId="0" applyNumberFormat="1" applyFont="1" applyFill="1" applyBorder="1" applyAlignment="1" applyProtection="1">
      <alignment horizontal="left" vertical="center"/>
    </xf>
    <xf numFmtId="49" fontId="11" fillId="0" borderId="33" xfId="0" applyNumberFormat="1" applyFont="1" applyFill="1" applyBorder="1" applyAlignment="1" applyProtection="1">
      <alignment horizontal="left" vertical="center"/>
    </xf>
    <xf numFmtId="0" fontId="11" fillId="0" borderId="6" xfId="0" applyNumberFormat="1" applyFont="1" applyFill="1" applyBorder="1" applyAlignment="1" applyProtection="1">
      <alignment horizontal="left" vertical="center"/>
    </xf>
    <xf numFmtId="0" fontId="11" fillId="0" borderId="17" xfId="0" applyNumberFormat="1" applyFont="1" applyFill="1" applyBorder="1" applyAlignment="1" applyProtection="1">
      <alignment horizontal="left" vertical="center"/>
    </xf>
    <xf numFmtId="49" fontId="10" fillId="0" borderId="31" xfId="0" applyNumberFormat="1" applyFont="1" applyFill="1" applyBorder="1" applyAlignment="1" applyProtection="1">
      <alignment horizontal="left" vertical="center"/>
    </xf>
    <xf numFmtId="0" fontId="10" fillId="0" borderId="35" xfId="0" applyNumberFormat="1" applyFont="1" applyFill="1" applyBorder="1" applyAlignment="1" applyProtection="1">
      <alignment horizontal="left" vertical="center"/>
    </xf>
    <xf numFmtId="49" fontId="11" fillId="0" borderId="31" xfId="0" applyNumberFormat="1" applyFont="1" applyFill="1" applyBorder="1" applyAlignment="1" applyProtection="1">
      <alignment horizontal="left" vertical="center"/>
    </xf>
    <xf numFmtId="0" fontId="11" fillId="0" borderId="35" xfId="0" applyNumberFormat="1" applyFont="1" applyFill="1" applyBorder="1" applyAlignment="1" applyProtection="1">
      <alignment horizontal="left" vertical="center"/>
    </xf>
    <xf numFmtId="49" fontId="8" fillId="0" borderId="27" xfId="0" applyNumberFormat="1" applyFont="1" applyFill="1" applyBorder="1" applyAlignment="1" applyProtection="1">
      <alignment horizontal="center" vertical="center"/>
    </xf>
    <xf numFmtId="0" fontId="8" fillId="0" borderId="27" xfId="0" applyNumberFormat="1" applyFont="1" applyFill="1" applyBorder="1" applyAlignment="1" applyProtection="1">
      <alignment horizontal="center" vertical="center"/>
    </xf>
    <xf numFmtId="49" fontId="12" fillId="0" borderId="31" xfId="0" applyNumberFormat="1" applyFont="1" applyFill="1" applyBorder="1" applyAlignment="1" applyProtection="1">
      <alignment horizontal="left" vertical="center"/>
    </xf>
    <xf numFmtId="0" fontId="12" fillId="0" borderId="35" xfId="0" applyNumberFormat="1" applyFont="1" applyFill="1" applyBorder="1" applyAlignment="1" applyProtection="1">
      <alignment horizontal="left" vertical="center"/>
    </xf>
    <xf numFmtId="0" fontId="1" fillId="0" borderId="10" xfId="0" applyNumberFormat="1" applyFont="1" applyFill="1" applyBorder="1" applyAlignment="1" applyProtection="1">
      <alignment horizontal="left" vertical="center" wrapText="1"/>
    </xf>
    <xf numFmtId="49" fontId="1" fillId="0" borderId="10" xfId="0" applyNumberFormat="1" applyFont="1" applyFill="1" applyBorder="1" applyAlignment="1" applyProtection="1">
      <alignment horizontal="left" vertical="center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49" fontId="1" fillId="0" borderId="9" xfId="0" applyNumberFormat="1" applyFont="1" applyFill="1" applyBorder="1" applyAlignment="1" applyProtection="1">
      <alignment horizontal="left" vertical="center"/>
    </xf>
  </cellXfs>
  <cellStyles count="1">
    <cellStyle name="normální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000000"/>
      <rgbColor rgb="00000000"/>
      <rgbColor rgb="00DBDBDB"/>
      <rgbColor rgb="00000000"/>
      <rgbColor rgb="00C0C0C0"/>
      <rgbColor rgb="00000000"/>
      <rgbColor rgb="00C0C0C0"/>
      <rgbColor rgb="00000000"/>
      <rgbColor rgb="00000000"/>
      <rgbColor rgb="00000000"/>
      <rgbColor rgb="00000000"/>
      <rgbColor rgb="00000000"/>
      <rgbColor rgb="00000000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2</xdr:col>
      <xdr:colOff>180975</xdr:colOff>
      <xdr:row>0</xdr:row>
      <xdr:rowOff>885825</xdr:rowOff>
    </xdr:to>
    <xdr:pic>
      <xdr:nvPicPr>
        <xdr:cNvPr id="4097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933450" cy="88582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T44"/>
  <sheetViews>
    <sheetView workbookViewId="0">
      <pane ySplit="10" topLeftCell="A11" activePane="bottomLeft" state="frozenSplit"/>
      <selection pane="bottomLeft" activeCell="F39" sqref="F39"/>
    </sheetView>
  </sheetViews>
  <sheetFormatPr defaultColWidth="11.5703125" defaultRowHeight="12.75"/>
  <cols>
    <col min="1" max="1" width="3.7109375" customWidth="1"/>
    <col min="2" max="2" width="15" customWidth="1"/>
    <col min="3" max="3" width="71.42578125" customWidth="1"/>
    <col min="4" max="4" width="4.28515625" customWidth="1"/>
    <col min="5" max="5" width="12.85546875" customWidth="1"/>
    <col min="6" max="7" width="20.7109375" customWidth="1"/>
    <col min="251" max="254" width="12.140625" hidden="1" customWidth="1"/>
  </cols>
  <sheetData>
    <row r="1" spans="1:253" ht="72.95" customHeight="1">
      <c r="A1" s="91" t="s">
        <v>0</v>
      </c>
      <c r="B1" s="92"/>
      <c r="C1" s="92"/>
      <c r="D1" s="92"/>
      <c r="E1" s="92"/>
      <c r="F1" s="92"/>
      <c r="G1" s="92"/>
      <c r="H1" s="17"/>
      <c r="I1" s="17"/>
      <c r="J1" s="17"/>
      <c r="K1" s="17"/>
      <c r="L1" s="17"/>
    </row>
    <row r="2" spans="1:253">
      <c r="A2" s="93" t="s">
        <v>1</v>
      </c>
      <c r="B2" s="89"/>
      <c r="C2" s="94" t="str">
        <f>'Stavební rozpočet'!D2</f>
        <v>Výpravní budova ŽST Kořenov</v>
      </c>
      <c r="D2" s="96" t="s">
        <v>100</v>
      </c>
      <c r="E2" s="89"/>
      <c r="F2" s="88" t="str">
        <f>'Stavební rozpočet'!H2</f>
        <v xml:space="preserve"> </v>
      </c>
      <c r="G2" s="88" t="s">
        <v>113</v>
      </c>
      <c r="H2" s="88" t="str">
        <f>'Stavební rozpočet'!J2</f>
        <v> </v>
      </c>
      <c r="I2" s="89"/>
      <c r="J2" s="89"/>
      <c r="K2" s="89"/>
      <c r="L2" s="90"/>
      <c r="M2" s="20"/>
    </row>
    <row r="3" spans="1:253">
      <c r="A3" s="85"/>
      <c r="B3" s="80"/>
      <c r="C3" s="95"/>
      <c r="D3" s="80"/>
      <c r="E3" s="80"/>
      <c r="F3" s="80"/>
      <c r="G3" s="80"/>
      <c r="H3" s="80"/>
      <c r="I3" s="80"/>
      <c r="J3" s="80"/>
      <c r="K3" s="80"/>
      <c r="L3" s="81"/>
      <c r="M3" s="20"/>
    </row>
    <row r="4" spans="1:253">
      <c r="A4" s="84" t="s">
        <v>2</v>
      </c>
      <c r="B4" s="80"/>
      <c r="C4" s="79" t="str">
        <f>'Stavební rozpočet'!D4</f>
        <v>ZTI pro místnost OP05</v>
      </c>
      <c r="D4" s="86" t="s">
        <v>101</v>
      </c>
      <c r="E4" s="80"/>
      <c r="F4" s="79" t="str">
        <f>'Stavební rozpočet'!H4</f>
        <v>14.08.2022</v>
      </c>
      <c r="G4" s="79" t="s">
        <v>114</v>
      </c>
      <c r="H4" s="79" t="str">
        <f>'Stavební rozpočet'!J4</f>
        <v> </v>
      </c>
      <c r="I4" s="80"/>
      <c r="J4" s="80"/>
      <c r="K4" s="80"/>
      <c r="L4" s="81"/>
      <c r="M4" s="20"/>
    </row>
    <row r="5" spans="1:253">
      <c r="A5" s="85"/>
      <c r="B5" s="80"/>
      <c r="C5" s="80"/>
      <c r="D5" s="80"/>
      <c r="E5" s="80"/>
      <c r="F5" s="80"/>
      <c r="G5" s="80"/>
      <c r="H5" s="80"/>
      <c r="I5" s="80"/>
      <c r="J5" s="80"/>
      <c r="K5" s="80"/>
      <c r="L5" s="81"/>
      <c r="M5" s="20"/>
    </row>
    <row r="6" spans="1:253">
      <c r="A6" s="84" t="s">
        <v>3</v>
      </c>
      <c r="B6" s="80"/>
      <c r="C6" s="79" t="str">
        <f>'Stavební rozpočet'!D6</f>
        <v>Kořenov 801, 468 49 Kořenov</v>
      </c>
      <c r="D6" s="86" t="s">
        <v>102</v>
      </c>
      <c r="E6" s="80"/>
      <c r="F6" s="79" t="str">
        <f>'Stavební rozpočet'!H6</f>
        <v xml:space="preserve"> </v>
      </c>
      <c r="G6" s="79" t="s">
        <v>115</v>
      </c>
      <c r="H6" s="79" t="str">
        <f>'Stavební rozpočet'!J6</f>
        <v> </v>
      </c>
      <c r="I6" s="80"/>
      <c r="J6" s="80"/>
      <c r="K6" s="80"/>
      <c r="L6" s="81"/>
      <c r="M6" s="20"/>
    </row>
    <row r="7" spans="1:253">
      <c r="A7" s="85"/>
      <c r="B7" s="80"/>
      <c r="C7" s="80"/>
      <c r="D7" s="80"/>
      <c r="E7" s="80"/>
      <c r="F7" s="80"/>
      <c r="G7" s="80"/>
      <c r="H7" s="80"/>
      <c r="I7" s="80"/>
      <c r="J7" s="80"/>
      <c r="K7" s="80"/>
      <c r="L7" s="81"/>
      <c r="M7" s="20"/>
    </row>
    <row r="8" spans="1:253">
      <c r="A8" s="84" t="s">
        <v>4</v>
      </c>
      <c r="B8" s="80"/>
      <c r="C8" s="79" t="str">
        <f>'Stavební rozpočet'!D8</f>
        <v xml:space="preserve"> </v>
      </c>
      <c r="D8" s="86" t="s">
        <v>103</v>
      </c>
      <c r="E8" s="80"/>
      <c r="F8" s="79" t="str">
        <f>'Stavební rozpočet'!H8</f>
        <v>14.08.2022</v>
      </c>
      <c r="G8" s="79" t="s">
        <v>116</v>
      </c>
      <c r="H8" s="79" t="str">
        <f>'Stavební rozpočet'!J8</f>
        <v> </v>
      </c>
      <c r="I8" s="80"/>
      <c r="J8" s="80"/>
      <c r="K8" s="80"/>
      <c r="L8" s="81"/>
      <c r="M8" s="20"/>
    </row>
    <row r="9" spans="1:253">
      <c r="A9" s="87"/>
      <c r="B9" s="82"/>
      <c r="C9" s="82"/>
      <c r="D9" s="82"/>
      <c r="E9" s="82"/>
      <c r="F9" s="82"/>
      <c r="G9" s="82"/>
      <c r="H9" s="82"/>
      <c r="I9" s="82"/>
      <c r="J9" s="82"/>
      <c r="K9" s="82"/>
      <c r="L9" s="83"/>
      <c r="M9" s="20"/>
    </row>
    <row r="10" spans="1:253">
      <c r="A10" s="1" t="s">
        <v>5</v>
      </c>
      <c r="B10" s="1" t="s">
        <v>35</v>
      </c>
      <c r="C10" s="1" t="s">
        <v>67</v>
      </c>
      <c r="D10" s="1" t="s">
        <v>104</v>
      </c>
      <c r="E10" s="1" t="s">
        <v>110</v>
      </c>
      <c r="F10" s="1" t="s">
        <v>111</v>
      </c>
      <c r="G10" s="16" t="s">
        <v>117</v>
      </c>
      <c r="H10" s="18"/>
      <c r="I10" s="19"/>
      <c r="J10" s="19"/>
      <c r="K10" s="19"/>
      <c r="L10" s="19"/>
    </row>
    <row r="11" spans="1:253">
      <c r="A11" s="2" t="s">
        <v>6</v>
      </c>
      <c r="B11" s="2" t="s">
        <v>36</v>
      </c>
      <c r="C11" s="6" t="s">
        <v>68</v>
      </c>
      <c r="D11" s="2" t="s">
        <v>6</v>
      </c>
      <c r="E11" s="11" t="s">
        <v>6</v>
      </c>
      <c r="F11" s="11" t="s">
        <v>6</v>
      </c>
      <c r="G11" s="21">
        <f>SUM(G12:G22)</f>
        <v>29059.5</v>
      </c>
    </row>
    <row r="12" spans="1:253">
      <c r="A12" s="3" t="s">
        <v>7</v>
      </c>
      <c r="B12" s="3" t="s">
        <v>37</v>
      </c>
      <c r="C12" s="7" t="s">
        <v>69</v>
      </c>
      <c r="D12" s="3" t="s">
        <v>105</v>
      </c>
      <c r="E12" s="12">
        <v>1</v>
      </c>
      <c r="F12" s="12">
        <v>660.99</v>
      </c>
      <c r="G12" s="12">
        <f t="shared" ref="G12:G22" si="0">IR12*E12+IS12*E12</f>
        <v>660.99</v>
      </c>
      <c r="IR12" s="25">
        <f>F12*0.28219791524834</f>
        <v>186.53000000000026</v>
      </c>
      <c r="IS12" s="25">
        <f>F12*(1-0.28219791524834)</f>
        <v>474.45999999999975</v>
      </c>
    </row>
    <row r="13" spans="1:253">
      <c r="A13" s="3" t="s">
        <v>8</v>
      </c>
      <c r="B13" s="3" t="s">
        <v>38</v>
      </c>
      <c r="C13" s="7" t="s">
        <v>70</v>
      </c>
      <c r="D13" s="3" t="s">
        <v>105</v>
      </c>
      <c r="E13" s="12">
        <v>2</v>
      </c>
      <c r="F13" s="12">
        <v>98.6</v>
      </c>
      <c r="G13" s="12">
        <f t="shared" si="0"/>
        <v>197.2</v>
      </c>
      <c r="IR13" s="25">
        <f>F13*0</f>
        <v>0</v>
      </c>
      <c r="IS13" s="25">
        <f>F13*(1-0)</f>
        <v>98.6</v>
      </c>
    </row>
    <row r="14" spans="1:253">
      <c r="A14" s="3" t="s">
        <v>9</v>
      </c>
      <c r="B14" s="3" t="s">
        <v>39</v>
      </c>
      <c r="C14" s="7" t="s">
        <v>71</v>
      </c>
      <c r="D14" s="3" t="s">
        <v>105</v>
      </c>
      <c r="E14" s="12">
        <v>2</v>
      </c>
      <c r="F14" s="12">
        <v>625</v>
      </c>
      <c r="G14" s="12">
        <f t="shared" si="0"/>
        <v>1250</v>
      </c>
      <c r="IR14" s="25">
        <f>F14*0.800128</f>
        <v>500.08</v>
      </c>
      <c r="IS14" s="25">
        <f>F14*(1-0.800128)</f>
        <v>124.92000000000003</v>
      </c>
    </row>
    <row r="15" spans="1:253">
      <c r="A15" s="3" t="s">
        <v>10</v>
      </c>
      <c r="B15" s="3" t="s">
        <v>40</v>
      </c>
      <c r="C15" s="7" t="s">
        <v>72</v>
      </c>
      <c r="D15" s="3" t="s">
        <v>106</v>
      </c>
      <c r="E15" s="12">
        <v>25</v>
      </c>
      <c r="F15" s="12">
        <v>254.5</v>
      </c>
      <c r="G15" s="12">
        <f t="shared" si="0"/>
        <v>6362.5000000000009</v>
      </c>
      <c r="IR15" s="25">
        <f>F15*0.32483300589391</f>
        <v>82.670000000000101</v>
      </c>
      <c r="IS15" s="25">
        <f>F15*(1-0.32483300589391)</f>
        <v>171.82999999999993</v>
      </c>
    </row>
    <row r="16" spans="1:253">
      <c r="A16" s="3" t="s">
        <v>11</v>
      </c>
      <c r="B16" s="3" t="s">
        <v>41</v>
      </c>
      <c r="C16" s="7" t="s">
        <v>73</v>
      </c>
      <c r="D16" s="3" t="s">
        <v>106</v>
      </c>
      <c r="E16" s="12">
        <v>23</v>
      </c>
      <c r="F16" s="12">
        <v>632</v>
      </c>
      <c r="G16" s="12">
        <f t="shared" si="0"/>
        <v>14536</v>
      </c>
      <c r="IR16" s="25">
        <f>F16*0.394129746835443</f>
        <v>249.08999999999997</v>
      </c>
      <c r="IS16" s="25">
        <f>F16*(1-0.394129746835443)</f>
        <v>382.91</v>
      </c>
    </row>
    <row r="17" spans="1:253">
      <c r="A17" s="3" t="s">
        <v>12</v>
      </c>
      <c r="B17" s="3" t="s">
        <v>42</v>
      </c>
      <c r="C17" s="7" t="s">
        <v>74</v>
      </c>
      <c r="D17" s="3" t="s">
        <v>105</v>
      </c>
      <c r="E17" s="12">
        <v>5</v>
      </c>
      <c r="F17" s="12">
        <v>83.31</v>
      </c>
      <c r="G17" s="12">
        <f t="shared" si="0"/>
        <v>416.55</v>
      </c>
      <c r="IR17" s="25">
        <f>F17*0</f>
        <v>0</v>
      </c>
      <c r="IS17" s="25">
        <f>F17*(1-0)</f>
        <v>83.31</v>
      </c>
    </row>
    <row r="18" spans="1:253">
      <c r="A18" s="3" t="s">
        <v>13</v>
      </c>
      <c r="B18" s="3" t="s">
        <v>43</v>
      </c>
      <c r="C18" s="7" t="s">
        <v>75</v>
      </c>
      <c r="D18" s="3" t="s">
        <v>105</v>
      </c>
      <c r="E18" s="12">
        <v>2</v>
      </c>
      <c r="F18" s="12">
        <v>123.99</v>
      </c>
      <c r="G18" s="12">
        <f t="shared" si="0"/>
        <v>247.98</v>
      </c>
      <c r="IR18" s="25">
        <f>F18*0</f>
        <v>0</v>
      </c>
      <c r="IS18" s="25">
        <f>F18*(1-0)</f>
        <v>123.99</v>
      </c>
    </row>
    <row r="19" spans="1:253">
      <c r="A19" s="3" t="s">
        <v>14</v>
      </c>
      <c r="B19" s="3" t="s">
        <v>44</v>
      </c>
      <c r="C19" s="7" t="s">
        <v>76</v>
      </c>
      <c r="D19" s="3" t="s">
        <v>105</v>
      </c>
      <c r="E19" s="12">
        <v>1</v>
      </c>
      <c r="F19" s="12">
        <v>760</v>
      </c>
      <c r="G19" s="12">
        <f t="shared" si="0"/>
        <v>760</v>
      </c>
      <c r="IR19" s="25">
        <f>F19*0.9</f>
        <v>684</v>
      </c>
      <c r="IS19" s="25">
        <f>F19*(1-0.9)</f>
        <v>75.999999999999986</v>
      </c>
    </row>
    <row r="20" spans="1:253">
      <c r="A20" s="3" t="s">
        <v>15</v>
      </c>
      <c r="B20" s="3" t="s">
        <v>45</v>
      </c>
      <c r="C20" s="7" t="s">
        <v>77</v>
      </c>
      <c r="D20" s="3" t="s">
        <v>106</v>
      </c>
      <c r="E20" s="12">
        <v>48</v>
      </c>
      <c r="F20" s="12">
        <v>23.61</v>
      </c>
      <c r="G20" s="12">
        <f t="shared" si="0"/>
        <v>1133.28</v>
      </c>
      <c r="IR20" s="25">
        <f>F20*0.0262600592969081</f>
        <v>0.62000000000000022</v>
      </c>
      <c r="IS20" s="25">
        <f>F20*(1-0.0262600592969081)</f>
        <v>22.99</v>
      </c>
    </row>
    <row r="21" spans="1:253">
      <c r="A21" s="3" t="s">
        <v>16</v>
      </c>
      <c r="B21" s="3" t="s">
        <v>46</v>
      </c>
      <c r="C21" s="7" t="s">
        <v>78</v>
      </c>
      <c r="D21" s="3" t="s">
        <v>107</v>
      </c>
      <c r="E21" s="12">
        <v>1</v>
      </c>
      <c r="F21" s="12">
        <v>895</v>
      </c>
      <c r="G21" s="12">
        <f t="shared" si="0"/>
        <v>895</v>
      </c>
      <c r="IR21" s="25">
        <f>F21*0.340782122905028</f>
        <v>305.00000000000006</v>
      </c>
      <c r="IS21" s="25">
        <f>F21*(1-0.340782122905028)</f>
        <v>589.99999999999989</v>
      </c>
    </row>
    <row r="22" spans="1:253">
      <c r="A22" s="3" t="s">
        <v>17</v>
      </c>
      <c r="B22" s="3" t="s">
        <v>47</v>
      </c>
      <c r="C22" s="7" t="s">
        <v>79</v>
      </c>
      <c r="D22" s="3" t="s">
        <v>107</v>
      </c>
      <c r="E22" s="12">
        <v>1</v>
      </c>
      <c r="F22" s="12">
        <v>2600</v>
      </c>
      <c r="G22" s="12">
        <f t="shared" si="0"/>
        <v>2600</v>
      </c>
      <c r="IR22" s="25">
        <f>F22*0.673076923076923</f>
        <v>1749.9999999999998</v>
      </c>
      <c r="IS22" s="25">
        <f>F22*(1-0.673076923076923)</f>
        <v>850.00000000000011</v>
      </c>
    </row>
    <row r="23" spans="1:253">
      <c r="A23" s="4" t="s">
        <v>6</v>
      </c>
      <c r="B23" s="4" t="s">
        <v>48</v>
      </c>
      <c r="C23" s="8" t="s">
        <v>80</v>
      </c>
      <c r="D23" s="4" t="s">
        <v>6</v>
      </c>
      <c r="E23" s="13" t="s">
        <v>6</v>
      </c>
      <c r="F23" s="13" t="s">
        <v>6</v>
      </c>
      <c r="G23" s="22">
        <f>SUM(G24:G30)</f>
        <v>14742.630000000001</v>
      </c>
    </row>
    <row r="24" spans="1:253">
      <c r="A24" s="3" t="s">
        <v>18</v>
      </c>
      <c r="B24" s="3" t="s">
        <v>49</v>
      </c>
      <c r="C24" s="7" t="s">
        <v>81</v>
      </c>
      <c r="D24" s="3" t="s">
        <v>108</v>
      </c>
      <c r="E24" s="12">
        <v>1</v>
      </c>
      <c r="F24" s="12">
        <v>1896.99</v>
      </c>
      <c r="G24" s="12">
        <f t="shared" ref="G24:G30" si="1">IR24*E24+IS24*E24</f>
        <v>1896.99</v>
      </c>
      <c r="IR24" s="25">
        <f>F24*0.48465200132842</f>
        <v>919.37999999999943</v>
      </c>
      <c r="IS24" s="25">
        <f>F24*(1-0.48465200132842)</f>
        <v>977.61000000000058</v>
      </c>
    </row>
    <row r="25" spans="1:253">
      <c r="A25" s="3" t="s">
        <v>19</v>
      </c>
      <c r="B25" s="3" t="s">
        <v>50</v>
      </c>
      <c r="C25" s="7" t="s">
        <v>82</v>
      </c>
      <c r="D25" s="3" t="s">
        <v>105</v>
      </c>
      <c r="E25" s="12">
        <v>1</v>
      </c>
      <c r="F25" s="12">
        <v>790</v>
      </c>
      <c r="G25" s="12">
        <f t="shared" si="1"/>
        <v>790</v>
      </c>
      <c r="IR25" s="25">
        <f>F25*0.86246835443038</f>
        <v>681.35000000000014</v>
      </c>
      <c r="IS25" s="25">
        <f>F25*(1-0.86246835443038)</f>
        <v>108.64999999999984</v>
      </c>
    </row>
    <row r="26" spans="1:253">
      <c r="A26" s="3" t="s">
        <v>20</v>
      </c>
      <c r="B26" s="3" t="s">
        <v>51</v>
      </c>
      <c r="C26" s="7" t="s">
        <v>83</v>
      </c>
      <c r="D26" s="3" t="s">
        <v>106</v>
      </c>
      <c r="E26" s="12">
        <v>24</v>
      </c>
      <c r="F26" s="12">
        <v>379.51</v>
      </c>
      <c r="G26" s="12">
        <f t="shared" si="1"/>
        <v>9108.2400000000016</v>
      </c>
      <c r="IR26" s="25">
        <f>F26*0.245342678717293</f>
        <v>93.109999999999872</v>
      </c>
      <c r="IS26" s="25">
        <f>F26*(1-0.245342678717293)</f>
        <v>286.40000000000015</v>
      </c>
    </row>
    <row r="27" spans="1:253">
      <c r="A27" s="3" t="s">
        <v>21</v>
      </c>
      <c r="B27" s="3" t="s">
        <v>52</v>
      </c>
      <c r="C27" s="7" t="s">
        <v>84</v>
      </c>
      <c r="D27" s="3" t="s">
        <v>105</v>
      </c>
      <c r="E27" s="12">
        <v>1</v>
      </c>
      <c r="F27" s="12">
        <v>217.5</v>
      </c>
      <c r="G27" s="12">
        <f t="shared" si="1"/>
        <v>217.5</v>
      </c>
      <c r="IR27" s="25">
        <f>F27*0</f>
        <v>0</v>
      </c>
      <c r="IS27" s="25">
        <f>F27*(1-0)</f>
        <v>217.5</v>
      </c>
    </row>
    <row r="28" spans="1:253">
      <c r="A28" s="3" t="s">
        <v>22</v>
      </c>
      <c r="B28" s="3" t="s">
        <v>53</v>
      </c>
      <c r="C28" s="7" t="s">
        <v>85</v>
      </c>
      <c r="D28" s="3" t="s">
        <v>106</v>
      </c>
      <c r="E28" s="12">
        <v>12</v>
      </c>
      <c r="F28" s="12">
        <v>80.3</v>
      </c>
      <c r="G28" s="12">
        <f t="shared" si="1"/>
        <v>963.6</v>
      </c>
      <c r="IR28" s="25">
        <f>F28*0.300871731008717</f>
        <v>24.159999999999975</v>
      </c>
      <c r="IS28" s="25">
        <f>F28*(1-0.300871731008717)</f>
        <v>56.140000000000022</v>
      </c>
    </row>
    <row r="29" spans="1:253">
      <c r="A29" s="3" t="s">
        <v>23</v>
      </c>
      <c r="B29" s="3" t="s">
        <v>54</v>
      </c>
      <c r="C29" s="7" t="s">
        <v>86</v>
      </c>
      <c r="D29" s="3" t="s">
        <v>106</v>
      </c>
      <c r="E29" s="12">
        <v>23</v>
      </c>
      <c r="F29" s="12">
        <v>31.3</v>
      </c>
      <c r="G29" s="12">
        <f t="shared" si="1"/>
        <v>719.90000000000009</v>
      </c>
      <c r="IR29" s="25">
        <f>F29*0.0507987220447284</f>
        <v>1.589999999999999</v>
      </c>
      <c r="IS29" s="25">
        <f>F29*(1-0.0507987220447284)</f>
        <v>29.710000000000004</v>
      </c>
    </row>
    <row r="30" spans="1:253">
      <c r="A30" s="3" t="s">
        <v>24</v>
      </c>
      <c r="B30" s="3" t="s">
        <v>55</v>
      </c>
      <c r="C30" s="7" t="s">
        <v>87</v>
      </c>
      <c r="D30" s="3" t="s">
        <v>106</v>
      </c>
      <c r="E30" s="12">
        <v>24</v>
      </c>
      <c r="F30" s="12">
        <v>43.6</v>
      </c>
      <c r="G30" s="12">
        <f t="shared" si="1"/>
        <v>1046.4000000000001</v>
      </c>
      <c r="IR30" s="25">
        <f>F30*0.20802752293578</f>
        <v>9.0700000000000092</v>
      </c>
      <c r="IS30" s="25">
        <f>F30*(1-0.20802752293578)</f>
        <v>34.529999999999994</v>
      </c>
    </row>
    <row r="31" spans="1:253">
      <c r="A31" s="4" t="s">
        <v>6</v>
      </c>
      <c r="B31" s="4" t="s">
        <v>56</v>
      </c>
      <c r="C31" s="8" t="s">
        <v>88</v>
      </c>
      <c r="D31" s="4" t="s">
        <v>6</v>
      </c>
      <c r="E31" s="13" t="s">
        <v>6</v>
      </c>
      <c r="F31" s="13" t="s">
        <v>6</v>
      </c>
      <c r="G31" s="22">
        <f>SUM(G32:G36)</f>
        <v>10647.99</v>
      </c>
    </row>
    <row r="32" spans="1:253">
      <c r="A32" s="3" t="s">
        <v>25</v>
      </c>
      <c r="B32" s="3" t="s">
        <v>57</v>
      </c>
      <c r="C32" s="7" t="s">
        <v>89</v>
      </c>
      <c r="D32" s="3" t="s">
        <v>105</v>
      </c>
      <c r="E32" s="12">
        <v>1</v>
      </c>
      <c r="F32" s="12">
        <v>335.99</v>
      </c>
      <c r="G32" s="12">
        <f>IR32*E32+IS32*E32</f>
        <v>335.99</v>
      </c>
      <c r="IR32" s="25">
        <f>F32*0.32194410547933</f>
        <v>108.17000000000009</v>
      </c>
      <c r="IS32" s="25">
        <f>F32*(1-0.32194410547933)</f>
        <v>227.81999999999994</v>
      </c>
    </row>
    <row r="33" spans="1:253">
      <c r="A33" s="3" t="s">
        <v>26</v>
      </c>
      <c r="B33" s="3" t="s">
        <v>58</v>
      </c>
      <c r="C33" s="7" t="s">
        <v>90</v>
      </c>
      <c r="D33" s="3" t="s">
        <v>105</v>
      </c>
      <c r="E33" s="12">
        <v>2</v>
      </c>
      <c r="F33" s="12">
        <v>1439</v>
      </c>
      <c r="G33" s="12">
        <f>IR33*E33+IS33*E33</f>
        <v>2878</v>
      </c>
      <c r="IR33" s="25">
        <f>F33*0.918179291174427</f>
        <v>1321.2600000000004</v>
      </c>
      <c r="IS33" s="25">
        <f>F33*(1-0.918179291174427)</f>
        <v>117.73999999999957</v>
      </c>
    </row>
    <row r="34" spans="1:253">
      <c r="A34" s="3" t="s">
        <v>27</v>
      </c>
      <c r="B34" s="3" t="s">
        <v>59</v>
      </c>
      <c r="C34" s="7" t="s">
        <v>91</v>
      </c>
      <c r="D34" s="3" t="s">
        <v>105</v>
      </c>
      <c r="E34" s="12">
        <v>1</v>
      </c>
      <c r="F34" s="12">
        <v>305</v>
      </c>
      <c r="G34" s="12">
        <f>IR34*E34+IS34*E34</f>
        <v>305</v>
      </c>
      <c r="IR34" s="25">
        <f>F34*0.419344262295082</f>
        <v>127.9</v>
      </c>
      <c r="IS34" s="25">
        <f>F34*(1-0.419344262295082)</f>
        <v>177.09999999999997</v>
      </c>
    </row>
    <row r="35" spans="1:253">
      <c r="A35" s="3" t="s">
        <v>28</v>
      </c>
      <c r="B35" s="3" t="s">
        <v>60</v>
      </c>
      <c r="C35" s="7" t="s">
        <v>92</v>
      </c>
      <c r="D35" s="3" t="s">
        <v>105</v>
      </c>
      <c r="E35" s="12">
        <v>1</v>
      </c>
      <c r="F35" s="12">
        <v>894</v>
      </c>
      <c r="G35" s="12">
        <f>IR35*E35+IS35*E35</f>
        <v>894</v>
      </c>
      <c r="IR35" s="25">
        <f>F35*0.33076062639821</f>
        <v>295.69999999999976</v>
      </c>
      <c r="IS35" s="25">
        <f>F35*(1-0.33076062639821)</f>
        <v>598.3000000000003</v>
      </c>
    </row>
    <row r="36" spans="1:253">
      <c r="A36" s="3" t="s">
        <v>29</v>
      </c>
      <c r="B36" s="3" t="s">
        <v>61</v>
      </c>
      <c r="C36" s="7" t="s">
        <v>93</v>
      </c>
      <c r="D36" s="3" t="s">
        <v>109</v>
      </c>
      <c r="E36" s="12">
        <v>1</v>
      </c>
      <c r="F36" s="12">
        <v>6235</v>
      </c>
      <c r="G36" s="12">
        <f>IR36*E36+IS36*E36</f>
        <v>6235</v>
      </c>
      <c r="IR36" s="25">
        <f>F36*0</f>
        <v>0</v>
      </c>
      <c r="IS36" s="25">
        <f>F36*(1-0)</f>
        <v>6235</v>
      </c>
    </row>
    <row r="37" spans="1:253">
      <c r="A37" s="4" t="s">
        <v>6</v>
      </c>
      <c r="B37" s="4"/>
      <c r="C37" s="8" t="s">
        <v>94</v>
      </c>
      <c r="D37" s="4" t="s">
        <v>6</v>
      </c>
      <c r="E37" s="13" t="s">
        <v>6</v>
      </c>
      <c r="F37" s="13" t="s">
        <v>6</v>
      </c>
      <c r="G37" s="23">
        <f>SUM(G38:G42)</f>
        <v>46356.97</v>
      </c>
    </row>
    <row r="38" spans="1:253">
      <c r="A38" s="5" t="s">
        <v>30</v>
      </c>
      <c r="B38" s="5" t="s">
        <v>62</v>
      </c>
      <c r="C38" s="9" t="s">
        <v>95</v>
      </c>
      <c r="D38" s="5" t="s">
        <v>109</v>
      </c>
      <c r="E38" s="14">
        <v>1</v>
      </c>
      <c r="F38" s="14">
        <v>3200</v>
      </c>
      <c r="G38" s="14">
        <f>IR38*E38+IS38*E38</f>
        <v>3200</v>
      </c>
      <c r="IR38" s="26">
        <f>F38*1</f>
        <v>3200</v>
      </c>
      <c r="IS38" s="26">
        <f>F38*(1-1)</f>
        <v>0</v>
      </c>
    </row>
    <row r="39" spans="1:253">
      <c r="A39" s="5" t="s">
        <v>31</v>
      </c>
      <c r="B39" s="5" t="s">
        <v>63</v>
      </c>
      <c r="C39" s="9" t="s">
        <v>96</v>
      </c>
      <c r="D39" s="5" t="s">
        <v>107</v>
      </c>
      <c r="E39" s="14">
        <v>6</v>
      </c>
      <c r="F39" s="14">
        <v>51</v>
      </c>
      <c r="G39" s="14">
        <f>IR39*E39+IS39*E39</f>
        <v>306</v>
      </c>
      <c r="IR39" s="26">
        <f>F39*1</f>
        <v>51</v>
      </c>
      <c r="IS39" s="26">
        <f>F39*(1-1)</f>
        <v>0</v>
      </c>
    </row>
    <row r="40" spans="1:253">
      <c r="A40" s="5" t="s">
        <v>32</v>
      </c>
      <c r="B40" s="5" t="s">
        <v>64</v>
      </c>
      <c r="C40" s="9" t="s">
        <v>97</v>
      </c>
      <c r="D40" s="5" t="s">
        <v>107</v>
      </c>
      <c r="E40" s="14">
        <v>1</v>
      </c>
      <c r="F40" s="14">
        <v>412</v>
      </c>
      <c r="G40" s="14">
        <f>IR40*E40+IS40*E40</f>
        <v>412</v>
      </c>
      <c r="IR40" s="26">
        <f>F40*1</f>
        <v>412</v>
      </c>
      <c r="IS40" s="26">
        <f>F40*(1-1)</f>
        <v>0</v>
      </c>
    </row>
    <row r="41" spans="1:253">
      <c r="A41" s="5" t="s">
        <v>33</v>
      </c>
      <c r="B41" s="5" t="s">
        <v>65</v>
      </c>
      <c r="C41" s="9" t="s">
        <v>98</v>
      </c>
      <c r="D41" s="5" t="s">
        <v>105</v>
      </c>
      <c r="E41" s="14">
        <v>1</v>
      </c>
      <c r="F41" s="14">
        <v>3504.97</v>
      </c>
      <c r="G41" s="14">
        <f>IR41*E41+IS41*E41</f>
        <v>3504.97</v>
      </c>
      <c r="IR41" s="26">
        <f>F41*1</f>
        <v>3504.97</v>
      </c>
      <c r="IS41" s="26">
        <f>F41*(1-1)</f>
        <v>0</v>
      </c>
    </row>
    <row r="42" spans="1:253">
      <c r="A42" s="5" t="s">
        <v>34</v>
      </c>
      <c r="B42" s="5" t="s">
        <v>66</v>
      </c>
      <c r="C42" s="9" t="s">
        <v>99</v>
      </c>
      <c r="D42" s="5" t="s">
        <v>107</v>
      </c>
      <c r="E42" s="14">
        <v>1</v>
      </c>
      <c r="F42" s="14">
        <v>38934</v>
      </c>
      <c r="G42" s="14">
        <f>IR42*E42+IS42*E42</f>
        <v>38934</v>
      </c>
      <c r="IR42" s="26">
        <f>F42*1</f>
        <v>38934</v>
      </c>
      <c r="IS42" s="26">
        <f>F42*(1-1)</f>
        <v>0</v>
      </c>
    </row>
    <row r="44" spans="1:253">
      <c r="F44" s="15" t="s">
        <v>112</v>
      </c>
      <c r="G44" s="24">
        <f>G11+G23+G31+G37</f>
        <v>100807.09</v>
      </c>
    </row>
  </sheetData>
  <mergeCells count="25">
    <mergeCell ref="A1:G1"/>
    <mergeCell ref="A2:B3"/>
    <mergeCell ref="C2:C3"/>
    <mergeCell ref="D2:E3"/>
    <mergeCell ref="F2:F3"/>
    <mergeCell ref="G2:G3"/>
    <mergeCell ref="H2:L3"/>
    <mergeCell ref="A4:B5"/>
    <mergeCell ref="C4:C5"/>
    <mergeCell ref="D4:E5"/>
    <mergeCell ref="F4:F5"/>
    <mergeCell ref="G4:G5"/>
    <mergeCell ref="H4:L5"/>
    <mergeCell ref="H8:L9"/>
    <mergeCell ref="A6:B7"/>
    <mergeCell ref="C6:C7"/>
    <mergeCell ref="D6:E7"/>
    <mergeCell ref="F6:F7"/>
    <mergeCell ref="G6:G7"/>
    <mergeCell ref="H6:L7"/>
    <mergeCell ref="A8:B9"/>
    <mergeCell ref="C8:C9"/>
    <mergeCell ref="D8:E9"/>
    <mergeCell ref="F8:F9"/>
    <mergeCell ref="G8:G9"/>
  </mergeCells>
  <pageMargins left="0.39400000000000002" right="0.39400000000000002" top="0.59099999999999997" bottom="0.59099999999999997" header="0.5" footer="0.5"/>
  <pageSetup paperSize="0" fitToHeight="0" orientation="portrait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16"/>
  <sheetViews>
    <sheetView workbookViewId="0">
      <pane ySplit="11" topLeftCell="A12" activePane="bottomLeft" state="frozenSplit"/>
      <selection pane="bottomLeft" sqref="A1:L1"/>
    </sheetView>
  </sheetViews>
  <sheetFormatPr defaultColWidth="11.5703125" defaultRowHeight="12.75"/>
  <cols>
    <col min="1" max="1" width="6.85546875" customWidth="1"/>
    <col min="2" max="2" width="4.5703125" customWidth="1"/>
    <col min="3" max="3" width="13.28515625" customWidth="1"/>
    <col min="4" max="4" width="34.140625" customWidth="1"/>
    <col min="5" max="5" width="4.28515625" customWidth="1"/>
    <col min="6" max="6" width="10.85546875" customWidth="1"/>
    <col min="7" max="7" width="12" customWidth="1"/>
    <col min="8" max="11" width="14.28515625" customWidth="1"/>
    <col min="12" max="12" width="11.7109375" customWidth="1"/>
    <col min="13" max="16" width="12.140625" hidden="1" customWidth="1"/>
  </cols>
  <sheetData>
    <row r="1" spans="1:16" ht="72.95" customHeight="1">
      <c r="A1" s="91" t="s">
        <v>118</v>
      </c>
      <c r="B1" s="92"/>
      <c r="C1" s="92"/>
      <c r="D1" s="92"/>
      <c r="E1" s="92"/>
      <c r="F1" s="92"/>
      <c r="G1" s="92"/>
      <c r="H1" s="92"/>
      <c r="I1" s="92"/>
      <c r="J1" s="92"/>
      <c r="K1" s="92"/>
      <c r="L1" s="92"/>
    </row>
    <row r="2" spans="1:16">
      <c r="A2" s="93" t="s">
        <v>1</v>
      </c>
      <c r="B2" s="89"/>
      <c r="C2" s="89"/>
      <c r="D2" s="94" t="str">
        <f>'Stavební rozpočet'!D2</f>
        <v>Výpravní budova ŽST Kořenov</v>
      </c>
      <c r="E2" s="88" t="s">
        <v>100</v>
      </c>
      <c r="F2" s="89"/>
      <c r="G2" s="88" t="str">
        <f>'Stavební rozpočet'!H2</f>
        <v xml:space="preserve"> </v>
      </c>
      <c r="H2" s="89"/>
      <c r="I2" s="88" t="s">
        <v>113</v>
      </c>
      <c r="J2" s="88" t="str">
        <f>'Stavební rozpočet'!J2</f>
        <v> </v>
      </c>
      <c r="K2" s="89"/>
      <c r="L2" s="90"/>
      <c r="M2" s="20"/>
    </row>
    <row r="3" spans="1:16">
      <c r="A3" s="85"/>
      <c r="B3" s="80"/>
      <c r="C3" s="80"/>
      <c r="D3" s="95"/>
      <c r="E3" s="80"/>
      <c r="F3" s="80"/>
      <c r="G3" s="80"/>
      <c r="H3" s="80"/>
      <c r="I3" s="80"/>
      <c r="J3" s="80"/>
      <c r="K3" s="80"/>
      <c r="L3" s="81"/>
      <c r="M3" s="20"/>
    </row>
    <row r="4" spans="1:16">
      <c r="A4" s="84" t="s">
        <v>2</v>
      </c>
      <c r="B4" s="80"/>
      <c r="C4" s="80"/>
      <c r="D4" s="79" t="str">
        <f>'Stavební rozpočet'!D4</f>
        <v>ZTI pro místnost OP05</v>
      </c>
      <c r="E4" s="79" t="s">
        <v>101</v>
      </c>
      <c r="F4" s="80"/>
      <c r="G4" s="79" t="str">
        <f>'Stavební rozpočet'!H4</f>
        <v>14.08.2022</v>
      </c>
      <c r="H4" s="80"/>
      <c r="I4" s="79" t="s">
        <v>114</v>
      </c>
      <c r="J4" s="79" t="str">
        <f>'Stavební rozpočet'!J4</f>
        <v> </v>
      </c>
      <c r="K4" s="80"/>
      <c r="L4" s="81"/>
      <c r="M4" s="20"/>
    </row>
    <row r="5" spans="1:16">
      <c r="A5" s="85"/>
      <c r="B5" s="80"/>
      <c r="C5" s="80"/>
      <c r="D5" s="80"/>
      <c r="E5" s="80"/>
      <c r="F5" s="80"/>
      <c r="G5" s="80"/>
      <c r="H5" s="80"/>
      <c r="I5" s="80"/>
      <c r="J5" s="80"/>
      <c r="K5" s="80"/>
      <c r="L5" s="81"/>
      <c r="M5" s="20"/>
    </row>
    <row r="6" spans="1:16">
      <c r="A6" s="84" t="s">
        <v>3</v>
      </c>
      <c r="B6" s="80"/>
      <c r="C6" s="80"/>
      <c r="D6" s="79" t="str">
        <f>'Stavební rozpočet'!D6</f>
        <v>Kořenov 801, 468 49 Kořenov</v>
      </c>
      <c r="E6" s="79" t="s">
        <v>102</v>
      </c>
      <c r="F6" s="80"/>
      <c r="G6" s="79" t="str">
        <f>'Stavební rozpočet'!H6</f>
        <v xml:space="preserve"> </v>
      </c>
      <c r="H6" s="80"/>
      <c r="I6" s="79" t="s">
        <v>115</v>
      </c>
      <c r="J6" s="79" t="str">
        <f>'Stavební rozpočet'!J6</f>
        <v> </v>
      </c>
      <c r="K6" s="80"/>
      <c r="L6" s="81"/>
      <c r="M6" s="20"/>
    </row>
    <row r="7" spans="1:16">
      <c r="A7" s="85"/>
      <c r="B7" s="80"/>
      <c r="C7" s="80"/>
      <c r="D7" s="80"/>
      <c r="E7" s="80"/>
      <c r="F7" s="80"/>
      <c r="G7" s="80"/>
      <c r="H7" s="80"/>
      <c r="I7" s="80"/>
      <c r="J7" s="80"/>
      <c r="K7" s="80"/>
      <c r="L7" s="81"/>
      <c r="M7" s="20"/>
    </row>
    <row r="8" spans="1:16">
      <c r="A8" s="84" t="s">
        <v>4</v>
      </c>
      <c r="B8" s="80"/>
      <c r="C8" s="80"/>
      <c r="D8" s="79" t="str">
        <f>'Stavební rozpočet'!D8</f>
        <v xml:space="preserve"> </v>
      </c>
      <c r="E8" s="79" t="s">
        <v>103</v>
      </c>
      <c r="F8" s="80"/>
      <c r="G8" s="79" t="str">
        <f>'Stavební rozpočet'!H8</f>
        <v>14.08.2022</v>
      </c>
      <c r="H8" s="80"/>
      <c r="I8" s="79" t="s">
        <v>116</v>
      </c>
      <c r="J8" s="79" t="str">
        <f>'Stavební rozpočet'!J8</f>
        <v> </v>
      </c>
      <c r="K8" s="80"/>
      <c r="L8" s="81"/>
      <c r="M8" s="20"/>
    </row>
    <row r="9" spans="1:16">
      <c r="A9" s="112"/>
      <c r="B9" s="110"/>
      <c r="C9" s="110"/>
      <c r="D9" s="110"/>
      <c r="E9" s="110"/>
      <c r="F9" s="110"/>
      <c r="G9" s="110"/>
      <c r="H9" s="110"/>
      <c r="I9" s="110"/>
      <c r="J9" s="110"/>
      <c r="K9" s="110"/>
      <c r="L9" s="111"/>
      <c r="M9" s="20"/>
    </row>
    <row r="10" spans="1:16">
      <c r="A10" s="27" t="s">
        <v>6</v>
      </c>
      <c r="B10" s="27" t="s">
        <v>6</v>
      </c>
      <c r="C10" s="97" t="s">
        <v>6</v>
      </c>
      <c r="D10" s="98"/>
      <c r="E10" s="98"/>
      <c r="F10" s="98"/>
      <c r="G10" s="98"/>
      <c r="H10" s="99"/>
      <c r="I10" s="100" t="s">
        <v>123</v>
      </c>
      <c r="J10" s="101"/>
      <c r="K10" s="102"/>
      <c r="L10" s="36" t="s">
        <v>127</v>
      </c>
      <c r="M10" s="38"/>
    </row>
    <row r="11" spans="1:16">
      <c r="A11" s="28" t="s">
        <v>119</v>
      </c>
      <c r="B11" s="28" t="s">
        <v>35</v>
      </c>
      <c r="C11" s="103" t="s">
        <v>67</v>
      </c>
      <c r="D11" s="104"/>
      <c r="E11" s="104"/>
      <c r="F11" s="104"/>
      <c r="G11" s="104"/>
      <c r="H11" s="105"/>
      <c r="I11" s="32" t="s">
        <v>124</v>
      </c>
      <c r="J11" s="35" t="s">
        <v>125</v>
      </c>
      <c r="K11" s="35" t="s">
        <v>126</v>
      </c>
      <c r="L11" s="37" t="s">
        <v>126</v>
      </c>
      <c r="M11" s="38"/>
    </row>
    <row r="12" spans="1:16">
      <c r="A12" s="29"/>
      <c r="B12" s="29" t="s">
        <v>121</v>
      </c>
      <c r="C12" s="106" t="s">
        <v>122</v>
      </c>
      <c r="D12" s="98"/>
      <c r="E12" s="98"/>
      <c r="F12" s="98"/>
      <c r="G12" s="98"/>
      <c r="H12" s="98"/>
      <c r="I12" s="33">
        <f>SUMIF('Stavební rozpočet'!AZ13:AZ43,"72_",'Stavební rozpočet'!AW13:AW43)</f>
        <v>19305.100000000002</v>
      </c>
      <c r="J12" s="33">
        <f>SUMIF('Stavební rozpočet'!AZ13:AZ43,"72_",'Stavební rozpočet'!AX13:AX43)</f>
        <v>35145.020000000004</v>
      </c>
      <c r="K12" s="33">
        <f>SUMIF('Stavební rozpočet'!AZ13:AZ43,"72_",'Stavební rozpočet'!AV13:AV43)</f>
        <v>54450.12</v>
      </c>
      <c r="L12" s="33">
        <f>SUMIF('Stavební rozpočet'!AZ13:AZ43,"72_",'Stavební rozpočet'!BF13:BF43)</f>
        <v>0.21233999999999997</v>
      </c>
      <c r="M12" s="39" t="s">
        <v>128</v>
      </c>
      <c r="N12" s="39">
        <f>IF(M12="F",0,K12)</f>
        <v>54450.12</v>
      </c>
      <c r="O12" s="10"/>
      <c r="P12" s="39">
        <f>IF(M12="T",0,K12)</f>
        <v>0</v>
      </c>
    </row>
    <row r="13" spans="1:16">
      <c r="A13" s="30"/>
      <c r="B13" s="30"/>
      <c r="C13" s="107" t="s">
        <v>94</v>
      </c>
      <c r="D13" s="82"/>
      <c r="E13" s="82"/>
      <c r="F13" s="82"/>
      <c r="G13" s="82"/>
      <c r="H13" s="82"/>
      <c r="I13" s="34">
        <f>SUMIF('Stavební rozpočet'!AZ13:AZ43,"Z_",'Stavební rozpočet'!AW13:AW43)</f>
        <v>46356.97</v>
      </c>
      <c r="J13" s="34">
        <f>SUMIF('Stavební rozpočet'!AZ13:AZ43,"Z_",'Stavební rozpočet'!AX13:AX43)</f>
        <v>0</v>
      </c>
      <c r="K13" s="34">
        <f>SUMIF('Stavební rozpočet'!AZ13:AZ43,"Z_",'Stavební rozpočet'!AV13:AV43)</f>
        <v>46356.97</v>
      </c>
      <c r="L13" s="34">
        <f>SUMIF('Stavební rozpočet'!AZ13:AZ43,"Z_",'Stavební rozpočet'!BF13:BF43)</f>
        <v>1.0999999999999999E-2</v>
      </c>
      <c r="M13" s="39" t="s">
        <v>128</v>
      </c>
      <c r="N13" s="39">
        <f>IF(M13="F",0,K13)</f>
        <v>46356.97</v>
      </c>
      <c r="O13" s="10"/>
      <c r="P13" s="39">
        <f>IF(M13="T",0,K13)</f>
        <v>0</v>
      </c>
    </row>
    <row r="14" spans="1:16">
      <c r="A14" s="19"/>
      <c r="B14" s="19"/>
      <c r="C14" s="19"/>
      <c r="D14" s="19"/>
      <c r="E14" s="19"/>
      <c r="F14" s="19"/>
      <c r="G14" s="19"/>
      <c r="H14" s="19"/>
      <c r="I14" s="108" t="s">
        <v>112</v>
      </c>
      <c r="J14" s="109"/>
      <c r="K14" s="40">
        <f>SUM(N12:N13)</f>
        <v>100807.09</v>
      </c>
      <c r="L14" s="19"/>
    </row>
    <row r="15" spans="1:16" ht="11.25" customHeight="1">
      <c r="A15" s="31" t="s">
        <v>120</v>
      </c>
    </row>
    <row r="16" spans="1:16">
      <c r="A16" s="79"/>
      <c r="B16" s="80"/>
      <c r="C16" s="80"/>
      <c r="D16" s="80"/>
      <c r="E16" s="80"/>
      <c r="F16" s="80"/>
      <c r="G16" s="80"/>
      <c r="H16" s="80"/>
      <c r="I16" s="80"/>
      <c r="J16" s="80"/>
      <c r="K16" s="80"/>
    </row>
  </sheetData>
  <mergeCells count="32">
    <mergeCell ref="J4:L5"/>
    <mergeCell ref="A1:L1"/>
    <mergeCell ref="A2:C3"/>
    <mergeCell ref="D2:D3"/>
    <mergeCell ref="E2:F3"/>
    <mergeCell ref="G2:H3"/>
    <mergeCell ref="I2:I3"/>
    <mergeCell ref="J2:L3"/>
    <mergeCell ref="A4:C5"/>
    <mergeCell ref="D4:D5"/>
    <mergeCell ref="E4:F5"/>
    <mergeCell ref="G4:H5"/>
    <mergeCell ref="I4:I5"/>
    <mergeCell ref="J8:L9"/>
    <mergeCell ref="A6:C7"/>
    <mergeCell ref="D6:D7"/>
    <mergeCell ref="E6:F7"/>
    <mergeCell ref="G6:H7"/>
    <mergeCell ref="I6:I7"/>
    <mergeCell ref="J6:L7"/>
    <mergeCell ref="A8:C9"/>
    <mergeCell ref="D8:D9"/>
    <mergeCell ref="E8:F9"/>
    <mergeCell ref="G8:H9"/>
    <mergeCell ref="I8:I9"/>
    <mergeCell ref="A16:K16"/>
    <mergeCell ref="C10:H10"/>
    <mergeCell ref="I10:K10"/>
    <mergeCell ref="C11:H11"/>
    <mergeCell ref="C12:H12"/>
    <mergeCell ref="C13:H13"/>
    <mergeCell ref="I14:J14"/>
  </mergeCells>
  <pageMargins left="0.39400000000000002" right="0.39400000000000002" top="0.59099999999999997" bottom="0.59099999999999997" header="0.5" footer="0.5"/>
  <pageSetup paperSize="0" fitToHeight="0"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37"/>
  <sheetViews>
    <sheetView tabSelected="1" workbookViewId="0">
      <selection activeCell="I18" sqref="I18"/>
    </sheetView>
  </sheetViews>
  <sheetFormatPr defaultColWidth="11.5703125" defaultRowHeight="12.75"/>
  <cols>
    <col min="1" max="1" width="9.140625" customWidth="1"/>
    <col min="2" max="2" width="12.85546875" customWidth="1"/>
    <col min="3" max="3" width="22.85546875" customWidth="1"/>
    <col min="4" max="4" width="10" customWidth="1"/>
    <col min="5" max="5" width="14" customWidth="1"/>
    <col min="6" max="6" width="22.85546875" customWidth="1"/>
    <col min="7" max="7" width="9.140625" customWidth="1"/>
    <col min="8" max="8" width="12.85546875" customWidth="1"/>
    <col min="9" max="9" width="22.85546875" customWidth="1"/>
  </cols>
  <sheetData>
    <row r="1" spans="1:10" ht="72.95" customHeight="1">
      <c r="A1" s="78"/>
      <c r="B1" s="17"/>
      <c r="C1" s="134" t="s">
        <v>143</v>
      </c>
      <c r="D1" s="92"/>
      <c r="E1" s="92"/>
      <c r="F1" s="92"/>
      <c r="G1" s="92"/>
      <c r="H1" s="92"/>
      <c r="I1" s="92"/>
    </row>
    <row r="2" spans="1:10">
      <c r="A2" s="93" t="s">
        <v>1</v>
      </c>
      <c r="B2" s="89"/>
      <c r="C2" s="94" t="str">
        <f>'Stavební rozpočet'!D2</f>
        <v>Výpravní budova ŽST Kořenov</v>
      </c>
      <c r="D2" s="109"/>
      <c r="E2" s="88" t="s">
        <v>113</v>
      </c>
      <c r="F2" s="88" t="str">
        <f>'Stavební rozpočet'!J2</f>
        <v> </v>
      </c>
      <c r="G2" s="89"/>
      <c r="H2" s="88" t="s">
        <v>168</v>
      </c>
      <c r="I2" s="135"/>
      <c r="J2" s="20"/>
    </row>
    <row r="3" spans="1:10">
      <c r="A3" s="85"/>
      <c r="B3" s="80"/>
      <c r="C3" s="95"/>
      <c r="D3" s="95"/>
      <c r="E3" s="80"/>
      <c r="F3" s="80"/>
      <c r="G3" s="80"/>
      <c r="H3" s="80"/>
      <c r="I3" s="81"/>
      <c r="J3" s="20"/>
    </row>
    <row r="4" spans="1:10">
      <c r="A4" s="84" t="s">
        <v>2</v>
      </c>
      <c r="B4" s="80"/>
      <c r="C4" s="79" t="str">
        <f>'Stavební rozpočet'!D4</f>
        <v>ZTI pro místnost OP05</v>
      </c>
      <c r="D4" s="80"/>
      <c r="E4" s="79" t="s">
        <v>114</v>
      </c>
      <c r="F4" s="79" t="str">
        <f>'Stavební rozpočet'!J4</f>
        <v> </v>
      </c>
      <c r="G4" s="80"/>
      <c r="H4" s="79" t="s">
        <v>168</v>
      </c>
      <c r="I4" s="133"/>
      <c r="J4" s="20"/>
    </row>
    <row r="5" spans="1:10">
      <c r="A5" s="85"/>
      <c r="B5" s="80"/>
      <c r="C5" s="80"/>
      <c r="D5" s="80"/>
      <c r="E5" s="80"/>
      <c r="F5" s="80"/>
      <c r="G5" s="80"/>
      <c r="H5" s="80"/>
      <c r="I5" s="81"/>
      <c r="J5" s="20"/>
    </row>
    <row r="6" spans="1:10">
      <c r="A6" s="84" t="s">
        <v>3</v>
      </c>
      <c r="B6" s="80"/>
      <c r="C6" s="79" t="str">
        <f>'Stavební rozpočet'!D6</f>
        <v>Kořenov 801, 468 49 Kořenov</v>
      </c>
      <c r="D6" s="80"/>
      <c r="E6" s="79" t="s">
        <v>115</v>
      </c>
      <c r="F6" s="79" t="str">
        <f>'Stavební rozpočet'!J6</f>
        <v> </v>
      </c>
      <c r="G6" s="80"/>
      <c r="H6" s="79" t="s">
        <v>168</v>
      </c>
      <c r="I6" s="133"/>
      <c r="J6" s="20"/>
    </row>
    <row r="7" spans="1:10">
      <c r="A7" s="85"/>
      <c r="B7" s="80"/>
      <c r="C7" s="80"/>
      <c r="D7" s="80"/>
      <c r="E7" s="80"/>
      <c r="F7" s="80"/>
      <c r="G7" s="80"/>
      <c r="H7" s="80"/>
      <c r="I7" s="81"/>
      <c r="J7" s="20"/>
    </row>
    <row r="8" spans="1:10">
      <c r="A8" s="84" t="s">
        <v>101</v>
      </c>
      <c r="B8" s="80"/>
      <c r="C8" s="79" t="str">
        <f>'Stavební rozpočet'!H4</f>
        <v>14.08.2022</v>
      </c>
      <c r="D8" s="80"/>
      <c r="E8" s="79" t="s">
        <v>102</v>
      </c>
      <c r="F8" s="79" t="str">
        <f>'Stavební rozpočet'!H6</f>
        <v xml:space="preserve"> </v>
      </c>
      <c r="G8" s="80"/>
      <c r="H8" s="86" t="s">
        <v>169</v>
      </c>
      <c r="I8" s="133" t="s">
        <v>34</v>
      </c>
      <c r="J8" s="20"/>
    </row>
    <row r="9" spans="1:10">
      <c r="A9" s="85"/>
      <c r="B9" s="80"/>
      <c r="C9" s="80"/>
      <c r="D9" s="80"/>
      <c r="E9" s="80"/>
      <c r="F9" s="80"/>
      <c r="G9" s="80"/>
      <c r="H9" s="80"/>
      <c r="I9" s="81"/>
      <c r="J9" s="20"/>
    </row>
    <row r="10" spans="1:10">
      <c r="A10" s="84" t="s">
        <v>4</v>
      </c>
      <c r="B10" s="80"/>
      <c r="C10" s="79" t="str">
        <f>'Stavební rozpočet'!D8</f>
        <v xml:space="preserve"> </v>
      </c>
      <c r="D10" s="80"/>
      <c r="E10" s="79" t="s">
        <v>116</v>
      </c>
      <c r="F10" s="79" t="str">
        <f>'Stavební rozpočet'!J8</f>
        <v> </v>
      </c>
      <c r="G10" s="80"/>
      <c r="H10" s="86" t="s">
        <v>170</v>
      </c>
      <c r="I10" s="132" t="str">
        <f>'Stavební rozpočet'!H8</f>
        <v>14.08.2022</v>
      </c>
      <c r="J10" s="20"/>
    </row>
    <row r="11" spans="1:10">
      <c r="A11" s="87"/>
      <c r="B11" s="82"/>
      <c r="C11" s="82"/>
      <c r="D11" s="82"/>
      <c r="E11" s="82"/>
      <c r="F11" s="82"/>
      <c r="G11" s="82"/>
      <c r="H11" s="82"/>
      <c r="I11" s="83"/>
      <c r="J11" s="20"/>
    </row>
    <row r="12" spans="1:10" ht="23.45" customHeight="1">
      <c r="A12" s="128" t="s">
        <v>129</v>
      </c>
      <c r="B12" s="129"/>
      <c r="C12" s="129"/>
      <c r="D12" s="129"/>
      <c r="E12" s="129"/>
      <c r="F12" s="129"/>
      <c r="G12" s="129"/>
      <c r="H12" s="129"/>
      <c r="I12" s="129"/>
    </row>
    <row r="13" spans="1:10" ht="26.45" customHeight="1">
      <c r="A13" s="41" t="s">
        <v>130</v>
      </c>
      <c r="B13" s="130" t="s">
        <v>141</v>
      </c>
      <c r="C13" s="131"/>
      <c r="D13" s="41" t="s">
        <v>144</v>
      </c>
      <c r="E13" s="130" t="s">
        <v>153</v>
      </c>
      <c r="F13" s="131"/>
      <c r="G13" s="41" t="s">
        <v>154</v>
      </c>
      <c r="H13" s="130" t="s">
        <v>171</v>
      </c>
      <c r="I13" s="131"/>
      <c r="J13" s="20"/>
    </row>
    <row r="14" spans="1:10" ht="15.2" customHeight="1">
      <c r="A14" s="42" t="s">
        <v>131</v>
      </c>
      <c r="B14" s="46" t="s">
        <v>142</v>
      </c>
      <c r="C14" s="50">
        <f>SUM('Stavební rozpočet'!AB12:AB43)</f>
        <v>0</v>
      </c>
      <c r="D14" s="126" t="s">
        <v>145</v>
      </c>
      <c r="E14" s="127"/>
      <c r="F14" s="50">
        <v>0</v>
      </c>
      <c r="G14" s="126" t="s">
        <v>155</v>
      </c>
      <c r="H14" s="127"/>
      <c r="I14" s="50">
        <v>3500</v>
      </c>
      <c r="J14" s="20"/>
    </row>
    <row r="15" spans="1:10" ht="15.2" customHeight="1">
      <c r="A15" s="43"/>
      <c r="B15" s="46" t="s">
        <v>125</v>
      </c>
      <c r="C15" s="50">
        <f>SUM('Stavební rozpočet'!AC12:AC43)</f>
        <v>0</v>
      </c>
      <c r="D15" s="126" t="s">
        <v>146</v>
      </c>
      <c r="E15" s="127"/>
      <c r="F15" s="50">
        <v>0</v>
      </c>
      <c r="G15" s="126" t="s">
        <v>156</v>
      </c>
      <c r="H15" s="127"/>
      <c r="I15" s="50">
        <v>0</v>
      </c>
      <c r="J15" s="20"/>
    </row>
    <row r="16" spans="1:10" ht="15.2" customHeight="1">
      <c r="A16" s="42" t="s">
        <v>132</v>
      </c>
      <c r="B16" s="46" t="s">
        <v>142</v>
      </c>
      <c r="C16" s="50">
        <f>SUM('Stavební rozpočet'!AD12:AD43)</f>
        <v>19305.100000000002</v>
      </c>
      <c r="D16" s="126" t="s">
        <v>147</v>
      </c>
      <c r="E16" s="127"/>
      <c r="F16" s="50">
        <v>0</v>
      </c>
      <c r="G16" s="126" t="s">
        <v>157</v>
      </c>
      <c r="H16" s="127"/>
      <c r="I16" s="50">
        <v>0</v>
      </c>
      <c r="J16" s="20"/>
    </row>
    <row r="17" spans="1:10" ht="15.2" customHeight="1">
      <c r="A17" s="43"/>
      <c r="B17" s="46" t="s">
        <v>125</v>
      </c>
      <c r="C17" s="50">
        <f>SUM('Stavební rozpočet'!AE12:AE43)</f>
        <v>35145.020000000004</v>
      </c>
      <c r="D17" s="126"/>
      <c r="E17" s="127"/>
      <c r="F17" s="51"/>
      <c r="G17" s="126" t="s">
        <v>158</v>
      </c>
      <c r="H17" s="127"/>
      <c r="I17" s="50">
        <v>1000</v>
      </c>
      <c r="J17" s="20"/>
    </row>
    <row r="18" spans="1:10" ht="15.2" customHeight="1">
      <c r="A18" s="42" t="s">
        <v>133</v>
      </c>
      <c r="B18" s="46" t="s">
        <v>142</v>
      </c>
      <c r="C18" s="50">
        <f>SUM('Stavební rozpočet'!AF12:AF43)</f>
        <v>0</v>
      </c>
      <c r="D18" s="126"/>
      <c r="E18" s="127"/>
      <c r="F18" s="51"/>
      <c r="G18" s="126" t="s">
        <v>159</v>
      </c>
      <c r="H18" s="127"/>
      <c r="I18" s="50">
        <v>6000</v>
      </c>
      <c r="J18" s="20"/>
    </row>
    <row r="19" spans="1:10" ht="15.2" customHeight="1">
      <c r="A19" s="43"/>
      <c r="B19" s="46" t="s">
        <v>125</v>
      </c>
      <c r="C19" s="50">
        <f>SUM('Stavební rozpočet'!AG12:AG43)</f>
        <v>0</v>
      </c>
      <c r="D19" s="126"/>
      <c r="E19" s="127"/>
      <c r="F19" s="51"/>
      <c r="G19" s="126" t="s">
        <v>160</v>
      </c>
      <c r="H19" s="127"/>
      <c r="I19" s="50">
        <v>0</v>
      </c>
      <c r="J19" s="20"/>
    </row>
    <row r="20" spans="1:10" ht="15.2" customHeight="1">
      <c r="A20" s="124" t="s">
        <v>94</v>
      </c>
      <c r="B20" s="125"/>
      <c r="C20" s="50">
        <f>SUM('Stavební rozpočet'!AH12:AH43)</f>
        <v>46356.97</v>
      </c>
      <c r="D20" s="126"/>
      <c r="E20" s="127"/>
      <c r="F20" s="51"/>
      <c r="G20" s="126"/>
      <c r="H20" s="127"/>
      <c r="I20" s="51"/>
      <c r="J20" s="20"/>
    </row>
    <row r="21" spans="1:10" ht="15.2" customHeight="1">
      <c r="A21" s="124" t="s">
        <v>134</v>
      </c>
      <c r="B21" s="125"/>
      <c r="C21" s="50">
        <f>SUM('Stavební rozpočet'!Z12:Z43)</f>
        <v>0</v>
      </c>
      <c r="D21" s="126"/>
      <c r="E21" s="127"/>
      <c r="F21" s="51"/>
      <c r="G21" s="126"/>
      <c r="H21" s="127"/>
      <c r="I21" s="51"/>
      <c r="J21" s="20"/>
    </row>
    <row r="22" spans="1:10" ht="16.7" customHeight="1">
      <c r="A22" s="124" t="s">
        <v>135</v>
      </c>
      <c r="B22" s="125"/>
      <c r="C22" s="50">
        <f>SUM(C14:C21)</f>
        <v>100807.09000000001</v>
      </c>
      <c r="D22" s="124" t="s">
        <v>148</v>
      </c>
      <c r="E22" s="125"/>
      <c r="F22" s="50">
        <f>SUM(F14:F21)</f>
        <v>0</v>
      </c>
      <c r="G22" s="124" t="s">
        <v>161</v>
      </c>
      <c r="H22" s="125"/>
      <c r="I22" s="50">
        <f>SUM(I14:I21)</f>
        <v>10500</v>
      </c>
      <c r="J22" s="20"/>
    </row>
    <row r="23" spans="1:10" ht="15.2" customHeight="1">
      <c r="A23" s="19"/>
      <c r="B23" s="19"/>
      <c r="C23" s="48"/>
      <c r="D23" s="124" t="s">
        <v>149</v>
      </c>
      <c r="E23" s="125"/>
      <c r="F23" s="52">
        <v>0</v>
      </c>
      <c r="G23" s="124" t="s">
        <v>162</v>
      </c>
      <c r="H23" s="125"/>
      <c r="I23" s="50">
        <v>0</v>
      </c>
      <c r="J23" s="20"/>
    </row>
    <row r="24" spans="1:10" ht="15.2" customHeight="1">
      <c r="D24" s="19"/>
      <c r="E24" s="19"/>
      <c r="F24" s="53"/>
      <c r="G24" s="124" t="s">
        <v>163</v>
      </c>
      <c r="H24" s="125"/>
      <c r="I24" s="50">
        <v>0</v>
      </c>
      <c r="J24" s="20"/>
    </row>
    <row r="25" spans="1:10" ht="15.2" customHeight="1">
      <c r="F25" s="54"/>
      <c r="G25" s="124" t="s">
        <v>164</v>
      </c>
      <c r="H25" s="125"/>
      <c r="I25" s="50">
        <v>0</v>
      </c>
      <c r="J25" s="20"/>
    </row>
    <row r="26" spans="1:10">
      <c r="A26" s="17"/>
      <c r="B26" s="17"/>
      <c r="C26" s="17"/>
      <c r="G26" s="19"/>
      <c r="H26" s="19"/>
      <c r="I26" s="19"/>
    </row>
    <row r="27" spans="1:10" ht="15.2" customHeight="1">
      <c r="A27" s="119" t="s">
        <v>136</v>
      </c>
      <c r="B27" s="120"/>
      <c r="C27" s="55">
        <f>SUM('Stavební rozpočet'!AJ12:AJ43)</f>
        <v>0</v>
      </c>
      <c r="D27" s="49"/>
      <c r="E27" s="17"/>
      <c r="F27" s="17"/>
      <c r="G27" s="17"/>
      <c r="H27" s="17"/>
      <c r="I27" s="17"/>
    </row>
    <row r="28" spans="1:10" ht="15.2" customHeight="1">
      <c r="A28" s="119" t="s">
        <v>137</v>
      </c>
      <c r="B28" s="120"/>
      <c r="C28" s="55">
        <f>SUM('Stavební rozpočet'!AK12:AK43)</f>
        <v>0</v>
      </c>
      <c r="D28" s="119" t="s">
        <v>150</v>
      </c>
      <c r="E28" s="120"/>
      <c r="F28" s="55">
        <f>ROUND(C28*(15/100),2)</f>
        <v>0</v>
      </c>
      <c r="G28" s="119" t="s">
        <v>165</v>
      </c>
      <c r="H28" s="120"/>
      <c r="I28" s="55">
        <f>SUM(C27:C29)</f>
        <v>111307.09</v>
      </c>
      <c r="J28" s="20"/>
    </row>
    <row r="29" spans="1:10" ht="15.2" customHeight="1">
      <c r="A29" s="119" t="s">
        <v>138</v>
      </c>
      <c r="B29" s="120"/>
      <c r="C29" s="55">
        <f>SUM('Stavební rozpočet'!AL12:AL43)+(F22+I22+F23+I23+I24+I25)</f>
        <v>111307.09</v>
      </c>
      <c r="D29" s="119" t="s">
        <v>151</v>
      </c>
      <c r="E29" s="120"/>
      <c r="F29" s="55">
        <f>ROUND(C29*(21/100),2)</f>
        <v>23374.49</v>
      </c>
      <c r="G29" s="119" t="s">
        <v>166</v>
      </c>
      <c r="H29" s="120"/>
      <c r="I29" s="55">
        <f>SUM(F28:F29)+I28</f>
        <v>134681.57999999999</v>
      </c>
      <c r="J29" s="20"/>
    </row>
    <row r="30" spans="1:10">
      <c r="A30" s="44"/>
      <c r="B30" s="44"/>
      <c r="C30" s="44"/>
      <c r="D30" s="44"/>
      <c r="E30" s="44"/>
      <c r="F30" s="44"/>
      <c r="G30" s="44"/>
      <c r="H30" s="44"/>
      <c r="I30" s="44"/>
    </row>
    <row r="31" spans="1:10" ht="14.45" customHeight="1">
      <c r="A31" s="121" t="s">
        <v>139</v>
      </c>
      <c r="B31" s="122"/>
      <c r="C31" s="123"/>
      <c r="D31" s="121" t="s">
        <v>152</v>
      </c>
      <c r="E31" s="122"/>
      <c r="F31" s="123"/>
      <c r="G31" s="121" t="s">
        <v>167</v>
      </c>
      <c r="H31" s="122"/>
      <c r="I31" s="123"/>
      <c r="J31" s="38"/>
    </row>
    <row r="32" spans="1:10" ht="14.45" customHeight="1">
      <c r="A32" s="113"/>
      <c r="B32" s="114"/>
      <c r="C32" s="115"/>
      <c r="D32" s="113"/>
      <c r="E32" s="114"/>
      <c r="F32" s="115"/>
      <c r="G32" s="113"/>
      <c r="H32" s="114"/>
      <c r="I32" s="115"/>
      <c r="J32" s="38"/>
    </row>
    <row r="33" spans="1:10" ht="14.45" customHeight="1">
      <c r="A33" s="113"/>
      <c r="B33" s="114"/>
      <c r="C33" s="115"/>
      <c r="D33" s="113"/>
      <c r="E33" s="114"/>
      <c r="F33" s="115"/>
      <c r="G33" s="113"/>
      <c r="H33" s="114"/>
      <c r="I33" s="115"/>
      <c r="J33" s="38"/>
    </row>
    <row r="34" spans="1:10" ht="14.45" customHeight="1">
      <c r="A34" s="113"/>
      <c r="B34" s="114"/>
      <c r="C34" s="115"/>
      <c r="D34" s="113"/>
      <c r="E34" s="114"/>
      <c r="F34" s="115"/>
      <c r="G34" s="113"/>
      <c r="H34" s="114"/>
      <c r="I34" s="115"/>
      <c r="J34" s="38"/>
    </row>
    <row r="35" spans="1:10" ht="14.45" customHeight="1">
      <c r="A35" s="116" t="s">
        <v>140</v>
      </c>
      <c r="B35" s="117"/>
      <c r="C35" s="118"/>
      <c r="D35" s="116" t="s">
        <v>140</v>
      </c>
      <c r="E35" s="117"/>
      <c r="F35" s="118"/>
      <c r="G35" s="116" t="s">
        <v>140</v>
      </c>
      <c r="H35" s="117"/>
      <c r="I35" s="118"/>
      <c r="J35" s="38"/>
    </row>
    <row r="36" spans="1:10" ht="11.25" customHeight="1">
      <c r="A36" s="45" t="s">
        <v>120</v>
      </c>
      <c r="B36" s="47"/>
      <c r="C36" s="47"/>
      <c r="D36" s="47"/>
      <c r="E36" s="47"/>
      <c r="F36" s="47"/>
      <c r="G36" s="47"/>
      <c r="H36" s="47"/>
      <c r="I36" s="47"/>
    </row>
    <row r="37" spans="1:10">
      <c r="A37" s="79"/>
      <c r="B37" s="80"/>
      <c r="C37" s="80"/>
      <c r="D37" s="80"/>
      <c r="E37" s="80"/>
      <c r="F37" s="80"/>
      <c r="G37" s="80"/>
      <c r="H37" s="80"/>
      <c r="I37" s="80"/>
    </row>
  </sheetData>
  <mergeCells count="83">
    <mergeCell ref="C1:I1"/>
    <mergeCell ref="A2:B3"/>
    <mergeCell ref="C2:D3"/>
    <mergeCell ref="E2:E3"/>
    <mergeCell ref="F2:G3"/>
    <mergeCell ref="H2:H3"/>
    <mergeCell ref="I2:I3"/>
    <mergeCell ref="I6:I7"/>
    <mergeCell ref="A4:B5"/>
    <mergeCell ref="C4:D5"/>
    <mergeCell ref="E4:E5"/>
    <mergeCell ref="F4:G5"/>
    <mergeCell ref="H4:H5"/>
    <mergeCell ref="I4:I5"/>
    <mergeCell ref="A6:B7"/>
    <mergeCell ref="C6:D7"/>
    <mergeCell ref="E6:E7"/>
    <mergeCell ref="F6:G7"/>
    <mergeCell ref="H6:H7"/>
    <mergeCell ref="I10:I11"/>
    <mergeCell ref="A8:B9"/>
    <mergeCell ref="C8:D9"/>
    <mergeCell ref="E8:E9"/>
    <mergeCell ref="F8:G9"/>
    <mergeCell ref="H8:H9"/>
    <mergeCell ref="I8:I9"/>
    <mergeCell ref="A10:B11"/>
    <mergeCell ref="C10:D11"/>
    <mergeCell ref="E10:E11"/>
    <mergeCell ref="F10:G11"/>
    <mergeCell ref="H10:H11"/>
    <mergeCell ref="A12:I12"/>
    <mergeCell ref="B13:C13"/>
    <mergeCell ref="E13:F13"/>
    <mergeCell ref="H13:I13"/>
    <mergeCell ref="D14:E14"/>
    <mergeCell ref="G14:H14"/>
    <mergeCell ref="D15:E15"/>
    <mergeCell ref="G15:H15"/>
    <mergeCell ref="D16:E16"/>
    <mergeCell ref="G16:H16"/>
    <mergeCell ref="D17:E17"/>
    <mergeCell ref="G17:H17"/>
    <mergeCell ref="D18:E18"/>
    <mergeCell ref="G18:H18"/>
    <mergeCell ref="D19:E19"/>
    <mergeCell ref="G19:H19"/>
    <mergeCell ref="A20:B20"/>
    <mergeCell ref="D20:E20"/>
    <mergeCell ref="G20:H20"/>
    <mergeCell ref="A28:B28"/>
    <mergeCell ref="D28:E28"/>
    <mergeCell ref="G28:H28"/>
    <mergeCell ref="A21:B21"/>
    <mergeCell ref="D21:E21"/>
    <mergeCell ref="G21:H21"/>
    <mergeCell ref="A22:B22"/>
    <mergeCell ref="D22:E22"/>
    <mergeCell ref="G22:H22"/>
    <mergeCell ref="D23:E23"/>
    <mergeCell ref="G23:H23"/>
    <mergeCell ref="G24:H24"/>
    <mergeCell ref="G25:H25"/>
    <mergeCell ref="A27:B27"/>
    <mergeCell ref="A29:B29"/>
    <mergeCell ref="D29:E29"/>
    <mergeCell ref="G29:H29"/>
    <mergeCell ref="A31:C31"/>
    <mergeCell ref="D31:F31"/>
    <mergeCell ref="G31:I31"/>
    <mergeCell ref="A32:C32"/>
    <mergeCell ref="D32:F32"/>
    <mergeCell ref="G32:I32"/>
    <mergeCell ref="A33:C33"/>
    <mergeCell ref="D33:F33"/>
    <mergeCell ref="G33:I33"/>
    <mergeCell ref="A37:I37"/>
    <mergeCell ref="A34:C34"/>
    <mergeCell ref="D34:F34"/>
    <mergeCell ref="G34:I34"/>
    <mergeCell ref="A35:C35"/>
    <mergeCell ref="D35:F35"/>
    <mergeCell ref="G35:I35"/>
  </mergeCells>
  <pageMargins left="0.39400000000000002" right="0.39400000000000002" top="0.59099999999999997" bottom="0.59099999999999997" header="0.5" footer="0.5"/>
  <pageSetup paperSize="0" orientation="portrait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J46"/>
  <sheetViews>
    <sheetView workbookViewId="0">
      <pane ySplit="11" topLeftCell="A12" activePane="bottomLeft" state="frozenSplit"/>
      <selection pane="bottomLeft" sqref="A1:M1"/>
    </sheetView>
  </sheetViews>
  <sheetFormatPr defaultColWidth="11.5703125" defaultRowHeight="12.75"/>
  <cols>
    <col min="1" max="1" width="3.7109375" customWidth="1"/>
    <col min="2" max="2" width="7.5703125" customWidth="1"/>
    <col min="3" max="3" width="14.28515625" customWidth="1"/>
    <col min="4" max="4" width="44.140625" customWidth="1"/>
    <col min="5" max="5" width="6.42578125" customWidth="1"/>
    <col min="6" max="6" width="12.85546875" customWidth="1"/>
    <col min="7" max="7" width="12" customWidth="1"/>
    <col min="8" max="10" width="14.28515625" customWidth="1"/>
    <col min="11" max="13" width="11.7109375" customWidth="1"/>
    <col min="25" max="62" width="12.140625" hidden="1" customWidth="1"/>
  </cols>
  <sheetData>
    <row r="1" spans="1:62" ht="72.95" customHeight="1">
      <c r="A1" s="91" t="s">
        <v>0</v>
      </c>
      <c r="B1" s="92"/>
      <c r="C1" s="92"/>
      <c r="D1" s="92"/>
      <c r="E1" s="92"/>
      <c r="F1" s="92"/>
      <c r="G1" s="92"/>
      <c r="H1" s="92"/>
      <c r="I1" s="92"/>
      <c r="J1" s="92"/>
      <c r="K1" s="92"/>
      <c r="L1" s="92"/>
      <c r="M1" s="92"/>
    </row>
    <row r="2" spans="1:62">
      <c r="A2" s="93" t="s">
        <v>1</v>
      </c>
      <c r="B2" s="89"/>
      <c r="C2" s="89"/>
      <c r="D2" s="94" t="s">
        <v>172</v>
      </c>
      <c r="E2" s="109"/>
      <c r="F2" s="96" t="s">
        <v>100</v>
      </c>
      <c r="G2" s="89"/>
      <c r="H2" s="96" t="s">
        <v>6</v>
      </c>
      <c r="I2" s="88" t="s">
        <v>113</v>
      </c>
      <c r="J2" s="96" t="s">
        <v>179</v>
      </c>
      <c r="K2" s="89"/>
      <c r="L2" s="89"/>
      <c r="M2" s="90"/>
      <c r="N2" s="20"/>
    </row>
    <row r="3" spans="1:62">
      <c r="A3" s="85"/>
      <c r="B3" s="80"/>
      <c r="C3" s="80"/>
      <c r="D3" s="95"/>
      <c r="E3" s="95"/>
      <c r="F3" s="80"/>
      <c r="G3" s="80"/>
      <c r="H3" s="80"/>
      <c r="I3" s="80"/>
      <c r="J3" s="80"/>
      <c r="K3" s="80"/>
      <c r="L3" s="80"/>
      <c r="M3" s="81"/>
      <c r="N3" s="20"/>
    </row>
    <row r="4" spans="1:62">
      <c r="A4" s="84" t="s">
        <v>2</v>
      </c>
      <c r="B4" s="80"/>
      <c r="C4" s="80"/>
      <c r="D4" s="79" t="s">
        <v>173</v>
      </c>
      <c r="E4" s="80"/>
      <c r="F4" s="86" t="s">
        <v>101</v>
      </c>
      <c r="G4" s="80"/>
      <c r="H4" s="86" t="s">
        <v>178</v>
      </c>
      <c r="I4" s="79" t="s">
        <v>114</v>
      </c>
      <c r="J4" s="86" t="s">
        <v>179</v>
      </c>
      <c r="K4" s="80"/>
      <c r="L4" s="80"/>
      <c r="M4" s="81"/>
      <c r="N4" s="20"/>
    </row>
    <row r="5" spans="1:62">
      <c r="A5" s="85"/>
      <c r="B5" s="80"/>
      <c r="C5" s="80"/>
      <c r="D5" s="80"/>
      <c r="E5" s="80"/>
      <c r="F5" s="80"/>
      <c r="G5" s="80"/>
      <c r="H5" s="80"/>
      <c r="I5" s="80"/>
      <c r="J5" s="80"/>
      <c r="K5" s="80"/>
      <c r="L5" s="80"/>
      <c r="M5" s="81"/>
      <c r="N5" s="20"/>
    </row>
    <row r="6" spans="1:62">
      <c r="A6" s="84" t="s">
        <v>3</v>
      </c>
      <c r="B6" s="80"/>
      <c r="C6" s="80"/>
      <c r="D6" s="79" t="s">
        <v>174</v>
      </c>
      <c r="E6" s="80"/>
      <c r="F6" s="86" t="s">
        <v>102</v>
      </c>
      <c r="G6" s="80"/>
      <c r="H6" s="86" t="s">
        <v>6</v>
      </c>
      <c r="I6" s="79" t="s">
        <v>115</v>
      </c>
      <c r="J6" s="86" t="s">
        <v>179</v>
      </c>
      <c r="K6" s="80"/>
      <c r="L6" s="80"/>
      <c r="M6" s="81"/>
      <c r="N6" s="20"/>
    </row>
    <row r="7" spans="1:62">
      <c r="A7" s="85"/>
      <c r="B7" s="80"/>
      <c r="C7" s="80"/>
      <c r="D7" s="80"/>
      <c r="E7" s="80"/>
      <c r="F7" s="80"/>
      <c r="G7" s="80"/>
      <c r="H7" s="80"/>
      <c r="I7" s="80"/>
      <c r="J7" s="80"/>
      <c r="K7" s="80"/>
      <c r="L7" s="80"/>
      <c r="M7" s="81"/>
      <c r="N7" s="20"/>
    </row>
    <row r="8" spans="1:62">
      <c r="A8" s="84" t="s">
        <v>4</v>
      </c>
      <c r="B8" s="80"/>
      <c r="C8" s="80"/>
      <c r="D8" s="79" t="s">
        <v>6</v>
      </c>
      <c r="E8" s="80"/>
      <c r="F8" s="86" t="s">
        <v>103</v>
      </c>
      <c r="G8" s="80"/>
      <c r="H8" s="86" t="s">
        <v>178</v>
      </c>
      <c r="I8" s="79" t="s">
        <v>116</v>
      </c>
      <c r="J8" s="86" t="s">
        <v>179</v>
      </c>
      <c r="K8" s="80"/>
      <c r="L8" s="80"/>
      <c r="M8" s="81"/>
      <c r="N8" s="20"/>
    </row>
    <row r="9" spans="1:62">
      <c r="A9" s="112"/>
      <c r="B9" s="110"/>
      <c r="C9" s="110"/>
      <c r="D9" s="110"/>
      <c r="E9" s="110"/>
      <c r="F9" s="110"/>
      <c r="G9" s="110"/>
      <c r="H9" s="110"/>
      <c r="I9" s="110"/>
      <c r="J9" s="110"/>
      <c r="K9" s="110"/>
      <c r="L9" s="110"/>
      <c r="M9" s="111"/>
      <c r="N9" s="20"/>
    </row>
    <row r="10" spans="1:62">
      <c r="A10" s="56" t="s">
        <v>5</v>
      </c>
      <c r="B10" s="61" t="s">
        <v>119</v>
      </c>
      <c r="C10" s="61" t="s">
        <v>35</v>
      </c>
      <c r="D10" s="61" t="s">
        <v>67</v>
      </c>
      <c r="E10" s="61" t="s">
        <v>104</v>
      </c>
      <c r="F10" s="65" t="s">
        <v>110</v>
      </c>
      <c r="G10" s="66" t="s">
        <v>176</v>
      </c>
      <c r="H10" s="100" t="s">
        <v>123</v>
      </c>
      <c r="I10" s="101"/>
      <c r="J10" s="102"/>
      <c r="K10" s="100" t="s">
        <v>127</v>
      </c>
      <c r="L10" s="102"/>
      <c r="M10" s="71" t="s">
        <v>181</v>
      </c>
      <c r="N10" s="38"/>
    </row>
    <row r="11" spans="1:62">
      <c r="A11" s="57" t="s">
        <v>6</v>
      </c>
      <c r="B11" s="62" t="s">
        <v>6</v>
      </c>
      <c r="C11" s="62" t="s">
        <v>6</v>
      </c>
      <c r="D11" s="28" t="s">
        <v>175</v>
      </c>
      <c r="E11" s="62" t="s">
        <v>6</v>
      </c>
      <c r="F11" s="62" t="s">
        <v>6</v>
      </c>
      <c r="G11" s="67" t="s">
        <v>177</v>
      </c>
      <c r="H11" s="32" t="s">
        <v>124</v>
      </c>
      <c r="I11" s="35" t="s">
        <v>125</v>
      </c>
      <c r="J11" s="37" t="s">
        <v>126</v>
      </c>
      <c r="K11" s="32" t="s">
        <v>180</v>
      </c>
      <c r="L11" s="37" t="s">
        <v>126</v>
      </c>
      <c r="M11" s="72" t="s">
        <v>182</v>
      </c>
      <c r="N11" s="38"/>
      <c r="Z11" s="69" t="s">
        <v>184</v>
      </c>
      <c r="AA11" s="69" t="s">
        <v>185</v>
      </c>
      <c r="AB11" s="69" t="s">
        <v>186</v>
      </c>
      <c r="AC11" s="69" t="s">
        <v>187</v>
      </c>
      <c r="AD11" s="69" t="s">
        <v>188</v>
      </c>
      <c r="AE11" s="69" t="s">
        <v>189</v>
      </c>
      <c r="AF11" s="69" t="s">
        <v>190</v>
      </c>
      <c r="AG11" s="69" t="s">
        <v>191</v>
      </c>
      <c r="AH11" s="69" t="s">
        <v>192</v>
      </c>
      <c r="BH11" s="69" t="s">
        <v>201</v>
      </c>
      <c r="BI11" s="69" t="s">
        <v>202</v>
      </c>
      <c r="BJ11" s="69" t="s">
        <v>203</v>
      </c>
    </row>
    <row r="12" spans="1:62">
      <c r="A12" s="58"/>
      <c r="B12" s="63"/>
      <c r="C12" s="63" t="s">
        <v>36</v>
      </c>
      <c r="D12" s="63" t="s">
        <v>68</v>
      </c>
      <c r="E12" s="58" t="s">
        <v>6</v>
      </c>
      <c r="F12" s="58" t="s">
        <v>6</v>
      </c>
      <c r="G12" s="58" t="s">
        <v>6</v>
      </c>
      <c r="H12" s="77">
        <f>SUM(H13:H23)</f>
        <v>11751.270000000002</v>
      </c>
      <c r="I12" s="77">
        <f>SUM(I13:I23)</f>
        <v>17308.229999999996</v>
      </c>
      <c r="J12" s="77">
        <f>SUM(J13:J23)</f>
        <v>29059.5</v>
      </c>
      <c r="K12" s="68"/>
      <c r="L12" s="77">
        <f>SUM(L13:L23)</f>
        <v>6.1189999999999994E-2</v>
      </c>
      <c r="M12" s="68"/>
      <c r="AI12" s="69"/>
      <c r="AS12" s="23">
        <f>SUM(AJ13:AJ23)</f>
        <v>0</v>
      </c>
      <c r="AT12" s="23">
        <f>SUM(AK13:AK23)</f>
        <v>0</v>
      </c>
      <c r="AU12" s="23">
        <f>SUM(AL13:AL23)</f>
        <v>29059.5</v>
      </c>
    </row>
    <row r="13" spans="1:62">
      <c r="A13" s="3" t="s">
        <v>7</v>
      </c>
      <c r="B13" s="3"/>
      <c r="C13" s="3" t="s">
        <v>37</v>
      </c>
      <c r="D13" s="3" t="s">
        <v>69</v>
      </c>
      <c r="E13" s="3" t="s">
        <v>105</v>
      </c>
      <c r="F13" s="12">
        <f>'Rozpočet - vybrané sloupce'!E12</f>
        <v>1</v>
      </c>
      <c r="G13" s="12">
        <f>'Rozpočet - vybrané sloupce'!F12</f>
        <v>660.99</v>
      </c>
      <c r="H13" s="12">
        <f t="shared" ref="H13:H23" si="0">F13*AO13</f>
        <v>186.53000000000026</v>
      </c>
      <c r="I13" s="12">
        <f t="shared" ref="I13:I23" si="1">F13*AP13</f>
        <v>474.45999999999975</v>
      </c>
      <c r="J13" s="12">
        <f t="shared" ref="J13:J23" si="2">F13*G13</f>
        <v>660.99</v>
      </c>
      <c r="K13" s="12">
        <v>0</v>
      </c>
      <c r="L13" s="12">
        <f t="shared" ref="L13:L23" si="3">F13*K13</f>
        <v>0</v>
      </c>
      <c r="M13" s="73" t="s">
        <v>183</v>
      </c>
      <c r="Z13" s="39">
        <f t="shared" ref="Z13:Z23" si="4">IF(AQ13="5",BJ13,0)</f>
        <v>0</v>
      </c>
      <c r="AB13" s="39">
        <f t="shared" ref="AB13:AB23" si="5">IF(AQ13="1",BH13,0)</f>
        <v>0</v>
      </c>
      <c r="AC13" s="39">
        <f t="shared" ref="AC13:AC23" si="6">IF(AQ13="1",BI13,0)</f>
        <v>0</v>
      </c>
      <c r="AD13" s="39">
        <f t="shared" ref="AD13:AD23" si="7">IF(AQ13="7",BH13,0)</f>
        <v>186.53000000000026</v>
      </c>
      <c r="AE13" s="39">
        <f t="shared" ref="AE13:AE23" si="8">IF(AQ13="7",BI13,0)</f>
        <v>474.45999999999975</v>
      </c>
      <c r="AF13" s="39">
        <f t="shared" ref="AF13:AF23" si="9">IF(AQ13="2",BH13,0)</f>
        <v>0</v>
      </c>
      <c r="AG13" s="39">
        <f t="shared" ref="AG13:AG23" si="10">IF(AQ13="2",BI13,0)</f>
        <v>0</v>
      </c>
      <c r="AH13" s="39">
        <f t="shared" ref="AH13:AH23" si="11">IF(AQ13="0",BJ13,0)</f>
        <v>0</v>
      </c>
      <c r="AI13" s="69"/>
      <c r="AJ13" s="12">
        <f t="shared" ref="AJ13:AJ23" si="12">IF(AN13=0,J13,0)</f>
        <v>0</v>
      </c>
      <c r="AK13" s="12">
        <f t="shared" ref="AK13:AK23" si="13">IF(AN13=15,J13,0)</f>
        <v>0</v>
      </c>
      <c r="AL13" s="12">
        <f t="shared" ref="AL13:AL23" si="14">IF(AN13=21,J13,0)</f>
        <v>660.99</v>
      </c>
      <c r="AN13" s="39">
        <v>21</v>
      </c>
      <c r="AO13" s="39">
        <f>G13*0.28219791524834</f>
        <v>186.53000000000026</v>
      </c>
      <c r="AP13" s="39">
        <f>G13*(1-0.28219791524834)</f>
        <v>474.45999999999975</v>
      </c>
      <c r="AQ13" s="73" t="s">
        <v>13</v>
      </c>
      <c r="AV13" s="39">
        <f t="shared" ref="AV13:AV23" si="15">AW13+AX13</f>
        <v>660.99</v>
      </c>
      <c r="AW13" s="39">
        <f t="shared" ref="AW13:AW23" si="16">F13*AO13</f>
        <v>186.53000000000026</v>
      </c>
      <c r="AX13" s="39">
        <f t="shared" ref="AX13:AX23" si="17">F13*AP13</f>
        <v>474.45999999999975</v>
      </c>
      <c r="AY13" s="76" t="s">
        <v>194</v>
      </c>
      <c r="AZ13" s="76" t="s">
        <v>198</v>
      </c>
      <c r="BA13" s="69" t="s">
        <v>200</v>
      </c>
      <c r="BC13" s="39">
        <f t="shared" ref="BC13:BC23" si="18">AW13+AX13</f>
        <v>660.99</v>
      </c>
      <c r="BD13" s="39">
        <f t="shared" ref="BD13:BD23" si="19">G13/(100-BE13)*100</f>
        <v>660.99</v>
      </c>
      <c r="BE13" s="39">
        <v>0</v>
      </c>
      <c r="BF13" s="39">
        <f t="shared" ref="BF13:BF23" si="20">L13</f>
        <v>0</v>
      </c>
      <c r="BH13" s="12">
        <f t="shared" ref="BH13:BH23" si="21">F13*AO13</f>
        <v>186.53000000000026</v>
      </c>
      <c r="BI13" s="12">
        <f t="shared" ref="BI13:BI23" si="22">F13*AP13</f>
        <v>474.45999999999975</v>
      </c>
      <c r="BJ13" s="12">
        <f t="shared" ref="BJ13:BJ23" si="23">F13*G13</f>
        <v>660.99</v>
      </c>
    </row>
    <row r="14" spans="1:62">
      <c r="A14" s="3" t="s">
        <v>8</v>
      </c>
      <c r="B14" s="3"/>
      <c r="C14" s="3" t="s">
        <v>38</v>
      </c>
      <c r="D14" s="3" t="s">
        <v>70</v>
      </c>
      <c r="E14" s="3" t="s">
        <v>105</v>
      </c>
      <c r="F14" s="12">
        <f>'Rozpočet - vybrané sloupce'!E13</f>
        <v>2</v>
      </c>
      <c r="G14" s="12">
        <f>'Rozpočet - vybrané sloupce'!F13</f>
        <v>98.6</v>
      </c>
      <c r="H14" s="12">
        <f t="shared" si="0"/>
        <v>0</v>
      </c>
      <c r="I14" s="12">
        <f t="shared" si="1"/>
        <v>197.2</v>
      </c>
      <c r="J14" s="12">
        <f t="shared" si="2"/>
        <v>197.2</v>
      </c>
      <c r="K14" s="12">
        <v>0</v>
      </c>
      <c r="L14" s="12">
        <f t="shared" si="3"/>
        <v>0</v>
      </c>
      <c r="M14" s="73" t="s">
        <v>183</v>
      </c>
      <c r="Z14" s="39">
        <f t="shared" si="4"/>
        <v>0</v>
      </c>
      <c r="AB14" s="39">
        <f t="shared" si="5"/>
        <v>0</v>
      </c>
      <c r="AC14" s="39">
        <f t="shared" si="6"/>
        <v>0</v>
      </c>
      <c r="AD14" s="39">
        <f t="shared" si="7"/>
        <v>0</v>
      </c>
      <c r="AE14" s="39">
        <f t="shared" si="8"/>
        <v>197.2</v>
      </c>
      <c r="AF14" s="39">
        <f t="shared" si="9"/>
        <v>0</v>
      </c>
      <c r="AG14" s="39">
        <f t="shared" si="10"/>
        <v>0</v>
      </c>
      <c r="AH14" s="39">
        <f t="shared" si="11"/>
        <v>0</v>
      </c>
      <c r="AI14" s="69"/>
      <c r="AJ14" s="12">
        <f t="shared" si="12"/>
        <v>0</v>
      </c>
      <c r="AK14" s="12">
        <f t="shared" si="13"/>
        <v>0</v>
      </c>
      <c r="AL14" s="12">
        <f t="shared" si="14"/>
        <v>197.2</v>
      </c>
      <c r="AN14" s="39">
        <v>21</v>
      </c>
      <c r="AO14" s="39">
        <f>G14*0</f>
        <v>0</v>
      </c>
      <c r="AP14" s="39">
        <f>G14*(1-0)</f>
        <v>98.6</v>
      </c>
      <c r="AQ14" s="73" t="s">
        <v>13</v>
      </c>
      <c r="AV14" s="39">
        <f t="shared" si="15"/>
        <v>197.2</v>
      </c>
      <c r="AW14" s="39">
        <f t="shared" si="16"/>
        <v>0</v>
      </c>
      <c r="AX14" s="39">
        <f t="shared" si="17"/>
        <v>197.2</v>
      </c>
      <c r="AY14" s="76" t="s">
        <v>194</v>
      </c>
      <c r="AZ14" s="76" t="s">
        <v>198</v>
      </c>
      <c r="BA14" s="69" t="s">
        <v>200</v>
      </c>
      <c r="BC14" s="39">
        <f t="shared" si="18"/>
        <v>197.2</v>
      </c>
      <c r="BD14" s="39">
        <f t="shared" si="19"/>
        <v>98.6</v>
      </c>
      <c r="BE14" s="39">
        <v>0</v>
      </c>
      <c r="BF14" s="39">
        <f t="shared" si="20"/>
        <v>0</v>
      </c>
      <c r="BH14" s="12">
        <f t="shared" si="21"/>
        <v>0</v>
      </c>
      <c r="BI14" s="12">
        <f t="shared" si="22"/>
        <v>197.2</v>
      </c>
      <c r="BJ14" s="12">
        <f t="shared" si="23"/>
        <v>197.2</v>
      </c>
    </row>
    <row r="15" spans="1:62">
      <c r="A15" s="3" t="s">
        <v>9</v>
      </c>
      <c r="B15" s="3"/>
      <c r="C15" s="3" t="s">
        <v>39</v>
      </c>
      <c r="D15" s="3" t="s">
        <v>71</v>
      </c>
      <c r="E15" s="3" t="s">
        <v>105</v>
      </c>
      <c r="F15" s="12">
        <f>'Rozpočet - vybrané sloupce'!E14</f>
        <v>2</v>
      </c>
      <c r="G15" s="12">
        <f>'Rozpočet - vybrané sloupce'!F14</f>
        <v>625</v>
      </c>
      <c r="H15" s="12">
        <f t="shared" si="0"/>
        <v>1000.16</v>
      </c>
      <c r="I15" s="12">
        <f t="shared" si="1"/>
        <v>249.84000000000006</v>
      </c>
      <c r="J15" s="12">
        <f t="shared" si="2"/>
        <v>1250</v>
      </c>
      <c r="K15" s="12">
        <v>3.8000000000000002E-4</v>
      </c>
      <c r="L15" s="12">
        <f t="shared" si="3"/>
        <v>7.6000000000000004E-4</v>
      </c>
      <c r="M15" s="73" t="s">
        <v>183</v>
      </c>
      <c r="Z15" s="39">
        <f t="shared" si="4"/>
        <v>0</v>
      </c>
      <c r="AB15" s="39">
        <f t="shared" si="5"/>
        <v>0</v>
      </c>
      <c r="AC15" s="39">
        <f t="shared" si="6"/>
        <v>0</v>
      </c>
      <c r="AD15" s="39">
        <f t="shared" si="7"/>
        <v>1000.16</v>
      </c>
      <c r="AE15" s="39">
        <f t="shared" si="8"/>
        <v>249.84000000000006</v>
      </c>
      <c r="AF15" s="39">
        <f t="shared" si="9"/>
        <v>0</v>
      </c>
      <c r="AG15" s="39">
        <f t="shared" si="10"/>
        <v>0</v>
      </c>
      <c r="AH15" s="39">
        <f t="shared" si="11"/>
        <v>0</v>
      </c>
      <c r="AI15" s="69"/>
      <c r="AJ15" s="12">
        <f t="shared" si="12"/>
        <v>0</v>
      </c>
      <c r="AK15" s="12">
        <f t="shared" si="13"/>
        <v>0</v>
      </c>
      <c r="AL15" s="12">
        <f t="shared" si="14"/>
        <v>1250</v>
      </c>
      <c r="AN15" s="39">
        <v>21</v>
      </c>
      <c r="AO15" s="39">
        <f>G15*0.800128</f>
        <v>500.08</v>
      </c>
      <c r="AP15" s="39">
        <f>G15*(1-0.800128)</f>
        <v>124.92000000000003</v>
      </c>
      <c r="AQ15" s="73" t="s">
        <v>13</v>
      </c>
      <c r="AV15" s="39">
        <f t="shared" si="15"/>
        <v>1250</v>
      </c>
      <c r="AW15" s="39">
        <f t="shared" si="16"/>
        <v>1000.16</v>
      </c>
      <c r="AX15" s="39">
        <f t="shared" si="17"/>
        <v>249.84000000000006</v>
      </c>
      <c r="AY15" s="76" t="s">
        <v>194</v>
      </c>
      <c r="AZ15" s="76" t="s">
        <v>198</v>
      </c>
      <c r="BA15" s="69" t="s">
        <v>200</v>
      </c>
      <c r="BC15" s="39">
        <f t="shared" si="18"/>
        <v>1250</v>
      </c>
      <c r="BD15" s="39">
        <f t="shared" si="19"/>
        <v>625</v>
      </c>
      <c r="BE15" s="39">
        <v>0</v>
      </c>
      <c r="BF15" s="39">
        <f t="shared" si="20"/>
        <v>7.6000000000000004E-4</v>
      </c>
      <c r="BH15" s="12">
        <f t="shared" si="21"/>
        <v>1000.16</v>
      </c>
      <c r="BI15" s="12">
        <f t="shared" si="22"/>
        <v>249.84000000000006</v>
      </c>
      <c r="BJ15" s="12">
        <f t="shared" si="23"/>
        <v>1250</v>
      </c>
    </row>
    <row r="16" spans="1:62">
      <c r="A16" s="3" t="s">
        <v>10</v>
      </c>
      <c r="B16" s="3"/>
      <c r="C16" s="3" t="s">
        <v>40</v>
      </c>
      <c r="D16" s="3" t="s">
        <v>72</v>
      </c>
      <c r="E16" s="3" t="s">
        <v>106</v>
      </c>
      <c r="F16" s="12">
        <f>'Rozpočet - vybrané sloupce'!E15</f>
        <v>25</v>
      </c>
      <c r="G16" s="12">
        <f>'Rozpočet - vybrané sloupce'!F15</f>
        <v>254.5</v>
      </c>
      <c r="H16" s="12">
        <f t="shared" si="0"/>
        <v>2066.7500000000027</v>
      </c>
      <c r="I16" s="12">
        <f t="shared" si="1"/>
        <v>4295.7499999999982</v>
      </c>
      <c r="J16" s="12">
        <f t="shared" si="2"/>
        <v>6362.5</v>
      </c>
      <c r="K16" s="12">
        <v>4.6999999999999999E-4</v>
      </c>
      <c r="L16" s="12">
        <f t="shared" si="3"/>
        <v>1.175E-2</v>
      </c>
      <c r="M16" s="73" t="s">
        <v>183</v>
      </c>
      <c r="Z16" s="39">
        <f t="shared" si="4"/>
        <v>0</v>
      </c>
      <c r="AB16" s="39">
        <f t="shared" si="5"/>
        <v>0</v>
      </c>
      <c r="AC16" s="39">
        <f t="shared" si="6"/>
        <v>0</v>
      </c>
      <c r="AD16" s="39">
        <f t="shared" si="7"/>
        <v>2066.7500000000027</v>
      </c>
      <c r="AE16" s="39">
        <f t="shared" si="8"/>
        <v>4295.7499999999982</v>
      </c>
      <c r="AF16" s="39">
        <f t="shared" si="9"/>
        <v>0</v>
      </c>
      <c r="AG16" s="39">
        <f t="shared" si="10"/>
        <v>0</v>
      </c>
      <c r="AH16" s="39">
        <f t="shared" si="11"/>
        <v>0</v>
      </c>
      <c r="AI16" s="69"/>
      <c r="AJ16" s="12">
        <f t="shared" si="12"/>
        <v>0</v>
      </c>
      <c r="AK16" s="12">
        <f t="shared" si="13"/>
        <v>0</v>
      </c>
      <c r="AL16" s="12">
        <f t="shared" si="14"/>
        <v>6362.5</v>
      </c>
      <c r="AN16" s="39">
        <v>21</v>
      </c>
      <c r="AO16" s="39">
        <f>G16*0.32483300589391</f>
        <v>82.670000000000101</v>
      </c>
      <c r="AP16" s="39">
        <f>G16*(1-0.32483300589391)</f>
        <v>171.82999999999993</v>
      </c>
      <c r="AQ16" s="73" t="s">
        <v>13</v>
      </c>
      <c r="AV16" s="39">
        <f t="shared" si="15"/>
        <v>6362.5000000000009</v>
      </c>
      <c r="AW16" s="39">
        <f t="shared" si="16"/>
        <v>2066.7500000000027</v>
      </c>
      <c r="AX16" s="39">
        <f t="shared" si="17"/>
        <v>4295.7499999999982</v>
      </c>
      <c r="AY16" s="76" t="s">
        <v>194</v>
      </c>
      <c r="AZ16" s="76" t="s">
        <v>198</v>
      </c>
      <c r="BA16" s="69" t="s">
        <v>200</v>
      </c>
      <c r="BC16" s="39">
        <f t="shared" si="18"/>
        <v>6362.5000000000009</v>
      </c>
      <c r="BD16" s="39">
        <f t="shared" si="19"/>
        <v>254.5</v>
      </c>
      <c r="BE16" s="39">
        <v>0</v>
      </c>
      <c r="BF16" s="39">
        <f t="shared" si="20"/>
        <v>1.175E-2</v>
      </c>
      <c r="BH16" s="12">
        <f t="shared" si="21"/>
        <v>2066.7500000000027</v>
      </c>
      <c r="BI16" s="12">
        <f t="shared" si="22"/>
        <v>4295.7499999999982</v>
      </c>
      <c r="BJ16" s="12">
        <f t="shared" si="23"/>
        <v>6362.5</v>
      </c>
    </row>
    <row r="17" spans="1:62">
      <c r="A17" s="3" t="s">
        <v>11</v>
      </c>
      <c r="B17" s="3"/>
      <c r="C17" s="3" t="s">
        <v>41</v>
      </c>
      <c r="D17" s="3" t="s">
        <v>73</v>
      </c>
      <c r="E17" s="3" t="s">
        <v>106</v>
      </c>
      <c r="F17" s="12">
        <f>'Rozpočet - vybrané sloupce'!E16</f>
        <v>23</v>
      </c>
      <c r="G17" s="12">
        <f>'Rozpočet - vybrané sloupce'!F16</f>
        <v>632</v>
      </c>
      <c r="H17" s="12">
        <f t="shared" si="0"/>
        <v>5729.07</v>
      </c>
      <c r="I17" s="12">
        <f t="shared" si="1"/>
        <v>8806.93</v>
      </c>
      <c r="J17" s="12">
        <f t="shared" si="2"/>
        <v>14536</v>
      </c>
      <c r="K17" s="12">
        <v>2.0999999999999999E-3</v>
      </c>
      <c r="L17" s="12">
        <f t="shared" si="3"/>
        <v>4.8299999999999996E-2</v>
      </c>
      <c r="M17" s="73" t="s">
        <v>183</v>
      </c>
      <c r="Z17" s="39">
        <f t="shared" si="4"/>
        <v>0</v>
      </c>
      <c r="AB17" s="39">
        <f t="shared" si="5"/>
        <v>0</v>
      </c>
      <c r="AC17" s="39">
        <f t="shared" si="6"/>
        <v>0</v>
      </c>
      <c r="AD17" s="39">
        <f t="shared" si="7"/>
        <v>5729.07</v>
      </c>
      <c r="AE17" s="39">
        <f t="shared" si="8"/>
        <v>8806.93</v>
      </c>
      <c r="AF17" s="39">
        <f t="shared" si="9"/>
        <v>0</v>
      </c>
      <c r="AG17" s="39">
        <f t="shared" si="10"/>
        <v>0</v>
      </c>
      <c r="AH17" s="39">
        <f t="shared" si="11"/>
        <v>0</v>
      </c>
      <c r="AI17" s="69"/>
      <c r="AJ17" s="12">
        <f t="shared" si="12"/>
        <v>0</v>
      </c>
      <c r="AK17" s="12">
        <f t="shared" si="13"/>
        <v>0</v>
      </c>
      <c r="AL17" s="12">
        <f t="shared" si="14"/>
        <v>14536</v>
      </c>
      <c r="AN17" s="39">
        <v>21</v>
      </c>
      <c r="AO17" s="39">
        <f>G17*0.394129746835443</f>
        <v>249.08999999999997</v>
      </c>
      <c r="AP17" s="39">
        <f>G17*(1-0.394129746835443)</f>
        <v>382.91</v>
      </c>
      <c r="AQ17" s="73" t="s">
        <v>13</v>
      </c>
      <c r="AV17" s="39">
        <f t="shared" si="15"/>
        <v>14536</v>
      </c>
      <c r="AW17" s="39">
        <f t="shared" si="16"/>
        <v>5729.07</v>
      </c>
      <c r="AX17" s="39">
        <f t="shared" si="17"/>
        <v>8806.93</v>
      </c>
      <c r="AY17" s="76" t="s">
        <v>194</v>
      </c>
      <c r="AZ17" s="76" t="s">
        <v>198</v>
      </c>
      <c r="BA17" s="69" t="s">
        <v>200</v>
      </c>
      <c r="BC17" s="39">
        <f t="shared" si="18"/>
        <v>14536</v>
      </c>
      <c r="BD17" s="39">
        <f t="shared" si="19"/>
        <v>632</v>
      </c>
      <c r="BE17" s="39">
        <v>0</v>
      </c>
      <c r="BF17" s="39">
        <f t="shared" si="20"/>
        <v>4.8299999999999996E-2</v>
      </c>
      <c r="BH17" s="12">
        <f t="shared" si="21"/>
        <v>5729.07</v>
      </c>
      <c r="BI17" s="12">
        <f t="shared" si="22"/>
        <v>8806.93</v>
      </c>
      <c r="BJ17" s="12">
        <f t="shared" si="23"/>
        <v>14536</v>
      </c>
    </row>
    <row r="18" spans="1:62">
      <c r="A18" s="3" t="s">
        <v>12</v>
      </c>
      <c r="B18" s="3"/>
      <c r="C18" s="3" t="s">
        <v>42</v>
      </c>
      <c r="D18" s="3" t="s">
        <v>74</v>
      </c>
      <c r="E18" s="3" t="s">
        <v>105</v>
      </c>
      <c r="F18" s="12">
        <f>'Rozpočet - vybrané sloupce'!E17</f>
        <v>5</v>
      </c>
      <c r="G18" s="12">
        <f>'Rozpočet - vybrané sloupce'!F17</f>
        <v>83.31</v>
      </c>
      <c r="H18" s="12">
        <f t="shared" si="0"/>
        <v>0</v>
      </c>
      <c r="I18" s="12">
        <f t="shared" si="1"/>
        <v>416.55</v>
      </c>
      <c r="J18" s="12">
        <f t="shared" si="2"/>
        <v>416.55</v>
      </c>
      <c r="K18" s="12">
        <v>0</v>
      </c>
      <c r="L18" s="12">
        <f t="shared" si="3"/>
        <v>0</v>
      </c>
      <c r="M18" s="73" t="s">
        <v>183</v>
      </c>
      <c r="Z18" s="39">
        <f t="shared" si="4"/>
        <v>0</v>
      </c>
      <c r="AB18" s="39">
        <f t="shared" si="5"/>
        <v>0</v>
      </c>
      <c r="AC18" s="39">
        <f t="shared" si="6"/>
        <v>0</v>
      </c>
      <c r="AD18" s="39">
        <f t="shared" si="7"/>
        <v>0</v>
      </c>
      <c r="AE18" s="39">
        <f t="shared" si="8"/>
        <v>416.55</v>
      </c>
      <c r="AF18" s="39">
        <f t="shared" si="9"/>
        <v>0</v>
      </c>
      <c r="AG18" s="39">
        <f t="shared" si="10"/>
        <v>0</v>
      </c>
      <c r="AH18" s="39">
        <f t="shared" si="11"/>
        <v>0</v>
      </c>
      <c r="AI18" s="69"/>
      <c r="AJ18" s="12">
        <f t="shared" si="12"/>
        <v>0</v>
      </c>
      <c r="AK18" s="12">
        <f t="shared" si="13"/>
        <v>0</v>
      </c>
      <c r="AL18" s="12">
        <f t="shared" si="14"/>
        <v>416.55</v>
      </c>
      <c r="AN18" s="39">
        <v>21</v>
      </c>
      <c r="AO18" s="39">
        <f>G18*0</f>
        <v>0</v>
      </c>
      <c r="AP18" s="39">
        <f>G18*(1-0)</f>
        <v>83.31</v>
      </c>
      <c r="AQ18" s="73" t="s">
        <v>13</v>
      </c>
      <c r="AV18" s="39">
        <f t="shared" si="15"/>
        <v>416.55</v>
      </c>
      <c r="AW18" s="39">
        <f t="shared" si="16"/>
        <v>0</v>
      </c>
      <c r="AX18" s="39">
        <f t="shared" si="17"/>
        <v>416.55</v>
      </c>
      <c r="AY18" s="76" t="s">
        <v>194</v>
      </c>
      <c r="AZ18" s="76" t="s">
        <v>198</v>
      </c>
      <c r="BA18" s="69" t="s">
        <v>200</v>
      </c>
      <c r="BC18" s="39">
        <f t="shared" si="18"/>
        <v>416.55</v>
      </c>
      <c r="BD18" s="39">
        <f t="shared" si="19"/>
        <v>83.31</v>
      </c>
      <c r="BE18" s="39">
        <v>0</v>
      </c>
      <c r="BF18" s="39">
        <f t="shared" si="20"/>
        <v>0</v>
      </c>
      <c r="BH18" s="12">
        <f t="shared" si="21"/>
        <v>0</v>
      </c>
      <c r="BI18" s="12">
        <f t="shared" si="22"/>
        <v>416.55</v>
      </c>
      <c r="BJ18" s="12">
        <f t="shared" si="23"/>
        <v>416.55</v>
      </c>
    </row>
    <row r="19" spans="1:62">
      <c r="A19" s="3" t="s">
        <v>13</v>
      </c>
      <c r="B19" s="3"/>
      <c r="C19" s="3" t="s">
        <v>43</v>
      </c>
      <c r="D19" s="3" t="s">
        <v>75</v>
      </c>
      <c r="E19" s="3" t="s">
        <v>105</v>
      </c>
      <c r="F19" s="12">
        <f>'Rozpočet - vybrané sloupce'!E18</f>
        <v>2</v>
      </c>
      <c r="G19" s="12">
        <f>'Rozpočet - vybrané sloupce'!F18</f>
        <v>123.99</v>
      </c>
      <c r="H19" s="12">
        <f t="shared" si="0"/>
        <v>0</v>
      </c>
      <c r="I19" s="12">
        <f t="shared" si="1"/>
        <v>247.98</v>
      </c>
      <c r="J19" s="12">
        <f t="shared" si="2"/>
        <v>247.98</v>
      </c>
      <c r="K19" s="12">
        <v>0</v>
      </c>
      <c r="L19" s="12">
        <f t="shared" si="3"/>
        <v>0</v>
      </c>
      <c r="M19" s="73" t="s">
        <v>183</v>
      </c>
      <c r="Z19" s="39">
        <f t="shared" si="4"/>
        <v>0</v>
      </c>
      <c r="AB19" s="39">
        <f t="shared" si="5"/>
        <v>0</v>
      </c>
      <c r="AC19" s="39">
        <f t="shared" si="6"/>
        <v>0</v>
      </c>
      <c r="AD19" s="39">
        <f t="shared" si="7"/>
        <v>0</v>
      </c>
      <c r="AE19" s="39">
        <f t="shared" si="8"/>
        <v>247.98</v>
      </c>
      <c r="AF19" s="39">
        <f t="shared" si="9"/>
        <v>0</v>
      </c>
      <c r="AG19" s="39">
        <f t="shared" si="10"/>
        <v>0</v>
      </c>
      <c r="AH19" s="39">
        <f t="shared" si="11"/>
        <v>0</v>
      </c>
      <c r="AI19" s="69"/>
      <c r="AJ19" s="12">
        <f t="shared" si="12"/>
        <v>0</v>
      </c>
      <c r="AK19" s="12">
        <f t="shared" si="13"/>
        <v>0</v>
      </c>
      <c r="AL19" s="12">
        <f t="shared" si="14"/>
        <v>247.98</v>
      </c>
      <c r="AN19" s="39">
        <v>21</v>
      </c>
      <c r="AO19" s="39">
        <f>G19*0</f>
        <v>0</v>
      </c>
      <c r="AP19" s="39">
        <f>G19*(1-0)</f>
        <v>123.99</v>
      </c>
      <c r="AQ19" s="73" t="s">
        <v>13</v>
      </c>
      <c r="AV19" s="39">
        <f t="shared" si="15"/>
        <v>247.98</v>
      </c>
      <c r="AW19" s="39">
        <f t="shared" si="16"/>
        <v>0</v>
      </c>
      <c r="AX19" s="39">
        <f t="shared" si="17"/>
        <v>247.98</v>
      </c>
      <c r="AY19" s="76" t="s">
        <v>194</v>
      </c>
      <c r="AZ19" s="76" t="s">
        <v>198</v>
      </c>
      <c r="BA19" s="69" t="s">
        <v>200</v>
      </c>
      <c r="BC19" s="39">
        <f t="shared" si="18"/>
        <v>247.98</v>
      </c>
      <c r="BD19" s="39">
        <f t="shared" si="19"/>
        <v>123.99</v>
      </c>
      <c r="BE19" s="39">
        <v>0</v>
      </c>
      <c r="BF19" s="39">
        <f t="shared" si="20"/>
        <v>0</v>
      </c>
      <c r="BH19" s="12">
        <f t="shared" si="21"/>
        <v>0</v>
      </c>
      <c r="BI19" s="12">
        <f t="shared" si="22"/>
        <v>247.98</v>
      </c>
      <c r="BJ19" s="12">
        <f t="shared" si="23"/>
        <v>247.98</v>
      </c>
    </row>
    <row r="20" spans="1:62">
      <c r="A20" s="3" t="s">
        <v>14</v>
      </c>
      <c r="B20" s="3"/>
      <c r="C20" s="3" t="s">
        <v>44</v>
      </c>
      <c r="D20" s="3" t="s">
        <v>76</v>
      </c>
      <c r="E20" s="3" t="s">
        <v>105</v>
      </c>
      <c r="F20" s="12">
        <f>'Rozpočet - vybrané sloupce'!E19</f>
        <v>1</v>
      </c>
      <c r="G20" s="12">
        <f>'Rozpočet - vybrané sloupce'!F19</f>
        <v>760</v>
      </c>
      <c r="H20" s="12">
        <f t="shared" si="0"/>
        <v>684</v>
      </c>
      <c r="I20" s="12">
        <f t="shared" si="1"/>
        <v>75.999999999999986</v>
      </c>
      <c r="J20" s="12">
        <f t="shared" si="2"/>
        <v>760</v>
      </c>
      <c r="K20" s="12">
        <v>3.8000000000000002E-4</v>
      </c>
      <c r="L20" s="12">
        <f t="shared" si="3"/>
        <v>3.8000000000000002E-4</v>
      </c>
      <c r="M20" s="73" t="s">
        <v>183</v>
      </c>
      <c r="Z20" s="39">
        <f t="shared" si="4"/>
        <v>0</v>
      </c>
      <c r="AB20" s="39">
        <f t="shared" si="5"/>
        <v>0</v>
      </c>
      <c r="AC20" s="39">
        <f t="shared" si="6"/>
        <v>0</v>
      </c>
      <c r="AD20" s="39">
        <f t="shared" si="7"/>
        <v>684</v>
      </c>
      <c r="AE20" s="39">
        <f t="shared" si="8"/>
        <v>75.999999999999986</v>
      </c>
      <c r="AF20" s="39">
        <f t="shared" si="9"/>
        <v>0</v>
      </c>
      <c r="AG20" s="39">
        <f t="shared" si="10"/>
        <v>0</v>
      </c>
      <c r="AH20" s="39">
        <f t="shared" si="11"/>
        <v>0</v>
      </c>
      <c r="AI20" s="69"/>
      <c r="AJ20" s="12">
        <f t="shared" si="12"/>
        <v>0</v>
      </c>
      <c r="AK20" s="12">
        <f t="shared" si="13"/>
        <v>0</v>
      </c>
      <c r="AL20" s="12">
        <f t="shared" si="14"/>
        <v>760</v>
      </c>
      <c r="AN20" s="39">
        <v>21</v>
      </c>
      <c r="AO20" s="39">
        <f>G20*0.9</f>
        <v>684</v>
      </c>
      <c r="AP20" s="39">
        <f>G20*(1-0.9)</f>
        <v>75.999999999999986</v>
      </c>
      <c r="AQ20" s="73" t="s">
        <v>13</v>
      </c>
      <c r="AV20" s="39">
        <f t="shared" si="15"/>
        <v>760</v>
      </c>
      <c r="AW20" s="39">
        <f t="shared" si="16"/>
        <v>684</v>
      </c>
      <c r="AX20" s="39">
        <f t="shared" si="17"/>
        <v>75.999999999999986</v>
      </c>
      <c r="AY20" s="76" t="s">
        <v>194</v>
      </c>
      <c r="AZ20" s="76" t="s">
        <v>198</v>
      </c>
      <c r="BA20" s="69" t="s">
        <v>200</v>
      </c>
      <c r="BC20" s="39">
        <f t="shared" si="18"/>
        <v>760</v>
      </c>
      <c r="BD20" s="39">
        <f t="shared" si="19"/>
        <v>1900</v>
      </c>
      <c r="BE20" s="39">
        <v>60</v>
      </c>
      <c r="BF20" s="39">
        <f t="shared" si="20"/>
        <v>3.8000000000000002E-4</v>
      </c>
      <c r="BH20" s="12">
        <f t="shared" si="21"/>
        <v>684</v>
      </c>
      <c r="BI20" s="12">
        <f t="shared" si="22"/>
        <v>75.999999999999986</v>
      </c>
      <c r="BJ20" s="12">
        <f t="shared" si="23"/>
        <v>760</v>
      </c>
    </row>
    <row r="21" spans="1:62">
      <c r="A21" s="3" t="s">
        <v>15</v>
      </c>
      <c r="B21" s="3"/>
      <c r="C21" s="3" t="s">
        <v>45</v>
      </c>
      <c r="D21" s="3" t="s">
        <v>77</v>
      </c>
      <c r="E21" s="3" t="s">
        <v>106</v>
      </c>
      <c r="F21" s="12">
        <f>'Rozpočet - vybrané sloupce'!E20</f>
        <v>48</v>
      </c>
      <c r="G21" s="12">
        <f>'Rozpočet - vybrané sloupce'!F20</f>
        <v>23.61</v>
      </c>
      <c r="H21" s="12">
        <f t="shared" si="0"/>
        <v>29.760000000000012</v>
      </c>
      <c r="I21" s="12">
        <f t="shared" si="1"/>
        <v>1103.52</v>
      </c>
      <c r="J21" s="12">
        <f t="shared" si="2"/>
        <v>1133.28</v>
      </c>
      <c r="K21" s="12">
        <v>0</v>
      </c>
      <c r="L21" s="12">
        <f t="shared" si="3"/>
        <v>0</v>
      </c>
      <c r="M21" s="73" t="s">
        <v>183</v>
      </c>
      <c r="Z21" s="39">
        <f t="shared" si="4"/>
        <v>0</v>
      </c>
      <c r="AB21" s="39">
        <f t="shared" si="5"/>
        <v>0</v>
      </c>
      <c r="AC21" s="39">
        <f t="shared" si="6"/>
        <v>0</v>
      </c>
      <c r="AD21" s="39">
        <f t="shared" si="7"/>
        <v>29.760000000000012</v>
      </c>
      <c r="AE21" s="39">
        <f t="shared" si="8"/>
        <v>1103.52</v>
      </c>
      <c r="AF21" s="39">
        <f t="shared" si="9"/>
        <v>0</v>
      </c>
      <c r="AG21" s="39">
        <f t="shared" si="10"/>
        <v>0</v>
      </c>
      <c r="AH21" s="39">
        <f t="shared" si="11"/>
        <v>0</v>
      </c>
      <c r="AI21" s="69"/>
      <c r="AJ21" s="12">
        <f t="shared" si="12"/>
        <v>0</v>
      </c>
      <c r="AK21" s="12">
        <f t="shared" si="13"/>
        <v>0</v>
      </c>
      <c r="AL21" s="12">
        <f t="shared" si="14"/>
        <v>1133.28</v>
      </c>
      <c r="AN21" s="39">
        <v>21</v>
      </c>
      <c r="AO21" s="39">
        <f>G21*0.0262600592969081</f>
        <v>0.62000000000000022</v>
      </c>
      <c r="AP21" s="39">
        <f>G21*(1-0.0262600592969081)</f>
        <v>22.99</v>
      </c>
      <c r="AQ21" s="73" t="s">
        <v>13</v>
      </c>
      <c r="AV21" s="39">
        <f t="shared" si="15"/>
        <v>1133.28</v>
      </c>
      <c r="AW21" s="39">
        <f t="shared" si="16"/>
        <v>29.760000000000012</v>
      </c>
      <c r="AX21" s="39">
        <f t="shared" si="17"/>
        <v>1103.52</v>
      </c>
      <c r="AY21" s="76" t="s">
        <v>194</v>
      </c>
      <c r="AZ21" s="76" t="s">
        <v>198</v>
      </c>
      <c r="BA21" s="69" t="s">
        <v>200</v>
      </c>
      <c r="BC21" s="39">
        <f t="shared" si="18"/>
        <v>1133.28</v>
      </c>
      <c r="BD21" s="39">
        <f t="shared" si="19"/>
        <v>23.61</v>
      </c>
      <c r="BE21" s="39">
        <v>0</v>
      </c>
      <c r="BF21" s="39">
        <f t="shared" si="20"/>
        <v>0</v>
      </c>
      <c r="BH21" s="12">
        <f t="shared" si="21"/>
        <v>29.760000000000012</v>
      </c>
      <c r="BI21" s="12">
        <f t="shared" si="22"/>
        <v>1103.52</v>
      </c>
      <c r="BJ21" s="12">
        <f t="shared" si="23"/>
        <v>1133.28</v>
      </c>
    </row>
    <row r="22" spans="1:62">
      <c r="A22" s="3" t="s">
        <v>16</v>
      </c>
      <c r="B22" s="3"/>
      <c r="C22" s="3" t="s">
        <v>46</v>
      </c>
      <c r="D22" s="3" t="s">
        <v>78</v>
      </c>
      <c r="E22" s="3" t="s">
        <v>107</v>
      </c>
      <c r="F22" s="12">
        <f>'Rozpočet - vybrané sloupce'!E21</f>
        <v>1</v>
      </c>
      <c r="G22" s="12">
        <f>'Rozpočet - vybrané sloupce'!F21</f>
        <v>895</v>
      </c>
      <c r="H22" s="12">
        <f t="shared" si="0"/>
        <v>305.00000000000006</v>
      </c>
      <c r="I22" s="12">
        <f t="shared" si="1"/>
        <v>589.99999999999989</v>
      </c>
      <c r="J22" s="12">
        <f t="shared" si="2"/>
        <v>895</v>
      </c>
      <c r="K22" s="12">
        <v>0</v>
      </c>
      <c r="L22" s="12">
        <f t="shared" si="3"/>
        <v>0</v>
      </c>
      <c r="M22" s="73"/>
      <c r="Z22" s="39">
        <f t="shared" si="4"/>
        <v>0</v>
      </c>
      <c r="AB22" s="39">
        <f t="shared" si="5"/>
        <v>0</v>
      </c>
      <c r="AC22" s="39">
        <f t="shared" si="6"/>
        <v>0</v>
      </c>
      <c r="AD22" s="39">
        <f t="shared" si="7"/>
        <v>305.00000000000006</v>
      </c>
      <c r="AE22" s="39">
        <f t="shared" si="8"/>
        <v>589.99999999999989</v>
      </c>
      <c r="AF22" s="39">
        <f t="shared" si="9"/>
        <v>0</v>
      </c>
      <c r="AG22" s="39">
        <f t="shared" si="10"/>
        <v>0</v>
      </c>
      <c r="AH22" s="39">
        <f t="shared" si="11"/>
        <v>0</v>
      </c>
      <c r="AI22" s="69"/>
      <c r="AJ22" s="12">
        <f t="shared" si="12"/>
        <v>0</v>
      </c>
      <c r="AK22" s="12">
        <f t="shared" si="13"/>
        <v>0</v>
      </c>
      <c r="AL22" s="12">
        <f t="shared" si="14"/>
        <v>895</v>
      </c>
      <c r="AN22" s="39">
        <v>21</v>
      </c>
      <c r="AO22" s="39">
        <f>G22*0.340782122905028</f>
        <v>305.00000000000006</v>
      </c>
      <c r="AP22" s="39">
        <f>G22*(1-0.340782122905028)</f>
        <v>589.99999999999989</v>
      </c>
      <c r="AQ22" s="73" t="s">
        <v>13</v>
      </c>
      <c r="AV22" s="39">
        <f t="shared" si="15"/>
        <v>895</v>
      </c>
      <c r="AW22" s="39">
        <f t="shared" si="16"/>
        <v>305.00000000000006</v>
      </c>
      <c r="AX22" s="39">
        <f t="shared" si="17"/>
        <v>589.99999999999989</v>
      </c>
      <c r="AY22" s="76" t="s">
        <v>194</v>
      </c>
      <c r="AZ22" s="76" t="s">
        <v>198</v>
      </c>
      <c r="BA22" s="69" t="s">
        <v>200</v>
      </c>
      <c r="BC22" s="39">
        <f t="shared" si="18"/>
        <v>895</v>
      </c>
      <c r="BD22" s="39">
        <f t="shared" si="19"/>
        <v>894.99999999999989</v>
      </c>
      <c r="BE22" s="39">
        <v>0</v>
      </c>
      <c r="BF22" s="39">
        <f t="shared" si="20"/>
        <v>0</v>
      </c>
      <c r="BH22" s="12">
        <f t="shared" si="21"/>
        <v>305.00000000000006</v>
      </c>
      <c r="BI22" s="12">
        <f t="shared" si="22"/>
        <v>589.99999999999989</v>
      </c>
      <c r="BJ22" s="12">
        <f t="shared" si="23"/>
        <v>895</v>
      </c>
    </row>
    <row r="23" spans="1:62">
      <c r="A23" s="3" t="s">
        <v>17</v>
      </c>
      <c r="B23" s="3"/>
      <c r="C23" s="3" t="s">
        <v>47</v>
      </c>
      <c r="D23" s="3" t="s">
        <v>79</v>
      </c>
      <c r="E23" s="3" t="s">
        <v>107</v>
      </c>
      <c r="F23" s="12">
        <f>'Rozpočet - vybrané sloupce'!E22</f>
        <v>1</v>
      </c>
      <c r="G23" s="12">
        <f>'Rozpočet - vybrané sloupce'!F22</f>
        <v>2600</v>
      </c>
      <c r="H23" s="12">
        <f t="shared" si="0"/>
        <v>1749.9999999999998</v>
      </c>
      <c r="I23" s="12">
        <f t="shared" si="1"/>
        <v>850.00000000000011</v>
      </c>
      <c r="J23" s="12">
        <f t="shared" si="2"/>
        <v>2600</v>
      </c>
      <c r="K23" s="12">
        <v>0</v>
      </c>
      <c r="L23" s="12">
        <f t="shared" si="3"/>
        <v>0</v>
      </c>
      <c r="M23" s="73"/>
      <c r="Z23" s="39">
        <f t="shared" si="4"/>
        <v>0</v>
      </c>
      <c r="AB23" s="39">
        <f t="shared" si="5"/>
        <v>0</v>
      </c>
      <c r="AC23" s="39">
        <f t="shared" si="6"/>
        <v>0</v>
      </c>
      <c r="AD23" s="39">
        <f t="shared" si="7"/>
        <v>1749.9999999999998</v>
      </c>
      <c r="AE23" s="39">
        <f t="shared" si="8"/>
        <v>850.00000000000011</v>
      </c>
      <c r="AF23" s="39">
        <f t="shared" si="9"/>
        <v>0</v>
      </c>
      <c r="AG23" s="39">
        <f t="shared" si="10"/>
        <v>0</v>
      </c>
      <c r="AH23" s="39">
        <f t="shared" si="11"/>
        <v>0</v>
      </c>
      <c r="AI23" s="69"/>
      <c r="AJ23" s="12">
        <f t="shared" si="12"/>
        <v>0</v>
      </c>
      <c r="AK23" s="12">
        <f t="shared" si="13"/>
        <v>0</v>
      </c>
      <c r="AL23" s="12">
        <f t="shared" si="14"/>
        <v>2600</v>
      </c>
      <c r="AN23" s="39">
        <v>21</v>
      </c>
      <c r="AO23" s="39">
        <f>G23*0.673076923076923</f>
        <v>1749.9999999999998</v>
      </c>
      <c r="AP23" s="39">
        <f>G23*(1-0.673076923076923)</f>
        <v>850.00000000000011</v>
      </c>
      <c r="AQ23" s="73" t="s">
        <v>13</v>
      </c>
      <c r="AV23" s="39">
        <f t="shared" si="15"/>
        <v>2600</v>
      </c>
      <c r="AW23" s="39">
        <f t="shared" si="16"/>
        <v>1749.9999999999998</v>
      </c>
      <c r="AX23" s="39">
        <f t="shared" si="17"/>
        <v>850.00000000000011</v>
      </c>
      <c r="AY23" s="76" t="s">
        <v>194</v>
      </c>
      <c r="AZ23" s="76" t="s">
        <v>198</v>
      </c>
      <c r="BA23" s="69" t="s">
        <v>200</v>
      </c>
      <c r="BC23" s="39">
        <f t="shared" si="18"/>
        <v>2600</v>
      </c>
      <c r="BD23" s="39">
        <f t="shared" si="19"/>
        <v>2600</v>
      </c>
      <c r="BE23" s="39">
        <v>0</v>
      </c>
      <c r="BF23" s="39">
        <f t="shared" si="20"/>
        <v>0</v>
      </c>
      <c r="BH23" s="12">
        <f t="shared" si="21"/>
        <v>1749.9999999999998</v>
      </c>
      <c r="BI23" s="12">
        <f t="shared" si="22"/>
        <v>850.00000000000011</v>
      </c>
      <c r="BJ23" s="12">
        <f t="shared" si="23"/>
        <v>2600</v>
      </c>
    </row>
    <row r="24" spans="1:62">
      <c r="A24" s="59"/>
      <c r="B24" s="64"/>
      <c r="C24" s="64" t="s">
        <v>48</v>
      </c>
      <c r="D24" s="64" t="s">
        <v>80</v>
      </c>
      <c r="E24" s="59" t="s">
        <v>6</v>
      </c>
      <c r="F24" s="59" t="s">
        <v>6</v>
      </c>
      <c r="G24" s="59" t="s">
        <v>6</v>
      </c>
      <c r="H24" s="23">
        <f>SUM(H25:H31)</f>
        <v>4379.5399999999963</v>
      </c>
      <c r="I24" s="23">
        <f>SUM(I25:I31)</f>
        <v>10363.090000000004</v>
      </c>
      <c r="J24" s="23">
        <f>SUM(J25:J31)</f>
        <v>14742.63</v>
      </c>
      <c r="K24" s="69"/>
      <c r="L24" s="23">
        <f>SUM(L25:L31)</f>
        <v>0.14561999999999997</v>
      </c>
      <c r="M24" s="69"/>
      <c r="AI24" s="69"/>
      <c r="AS24" s="23">
        <f>SUM(AJ25:AJ31)</f>
        <v>0</v>
      </c>
      <c r="AT24" s="23">
        <f>SUM(AK25:AK31)</f>
        <v>0</v>
      </c>
      <c r="AU24" s="23">
        <f>SUM(AL25:AL31)</f>
        <v>14742.63</v>
      </c>
    </row>
    <row r="25" spans="1:62">
      <c r="A25" s="3" t="s">
        <v>18</v>
      </c>
      <c r="B25" s="3"/>
      <c r="C25" s="3" t="s">
        <v>49</v>
      </c>
      <c r="D25" s="3" t="s">
        <v>81</v>
      </c>
      <c r="E25" s="3" t="s">
        <v>108</v>
      </c>
      <c r="F25" s="12">
        <f>'Rozpočet - vybrané sloupce'!E24</f>
        <v>1</v>
      </c>
      <c r="G25" s="12">
        <f>'Rozpočet - vybrané sloupce'!F24</f>
        <v>1896.99</v>
      </c>
      <c r="H25" s="12">
        <f t="shared" ref="H25:H31" si="24">F25*AO25</f>
        <v>919.37999999999943</v>
      </c>
      <c r="I25" s="12">
        <f t="shared" ref="I25:I31" si="25">F25*AP25</f>
        <v>977.61000000000058</v>
      </c>
      <c r="J25" s="12">
        <f t="shared" ref="J25:J31" si="26">F25*G25</f>
        <v>1896.99</v>
      </c>
      <c r="K25" s="12">
        <v>1.537E-2</v>
      </c>
      <c r="L25" s="12">
        <f t="shared" ref="L25:L31" si="27">F25*K25</f>
        <v>1.537E-2</v>
      </c>
      <c r="M25" s="73" t="s">
        <v>183</v>
      </c>
      <c r="Z25" s="39">
        <f t="shared" ref="Z25:Z31" si="28">IF(AQ25="5",BJ25,0)</f>
        <v>0</v>
      </c>
      <c r="AB25" s="39">
        <f t="shared" ref="AB25:AB31" si="29">IF(AQ25="1",BH25,0)</f>
        <v>0</v>
      </c>
      <c r="AC25" s="39">
        <f t="shared" ref="AC25:AC31" si="30">IF(AQ25="1",BI25,0)</f>
        <v>0</v>
      </c>
      <c r="AD25" s="39">
        <f t="shared" ref="AD25:AD31" si="31">IF(AQ25="7",BH25,0)</f>
        <v>919.37999999999943</v>
      </c>
      <c r="AE25" s="39">
        <f t="shared" ref="AE25:AE31" si="32">IF(AQ25="7",BI25,0)</f>
        <v>977.61000000000058</v>
      </c>
      <c r="AF25" s="39">
        <f t="shared" ref="AF25:AF31" si="33">IF(AQ25="2",BH25,0)</f>
        <v>0</v>
      </c>
      <c r="AG25" s="39">
        <f t="shared" ref="AG25:AG31" si="34">IF(AQ25="2",BI25,0)</f>
        <v>0</v>
      </c>
      <c r="AH25" s="39">
        <f t="shared" ref="AH25:AH31" si="35">IF(AQ25="0",BJ25,0)</f>
        <v>0</v>
      </c>
      <c r="AI25" s="69"/>
      <c r="AJ25" s="12">
        <f t="shared" ref="AJ25:AJ31" si="36">IF(AN25=0,J25,0)</f>
        <v>0</v>
      </c>
      <c r="AK25" s="12">
        <f t="shared" ref="AK25:AK31" si="37">IF(AN25=15,J25,0)</f>
        <v>0</v>
      </c>
      <c r="AL25" s="12">
        <f t="shared" ref="AL25:AL31" si="38">IF(AN25=21,J25,0)</f>
        <v>1896.99</v>
      </c>
      <c r="AN25" s="39">
        <v>21</v>
      </c>
      <c r="AO25" s="39">
        <f>G25*0.48465200132842</f>
        <v>919.37999999999943</v>
      </c>
      <c r="AP25" s="39">
        <f>G25*(1-0.48465200132842)</f>
        <v>977.61000000000058</v>
      </c>
      <c r="AQ25" s="73" t="s">
        <v>13</v>
      </c>
      <c r="AV25" s="39">
        <f t="shared" ref="AV25:AV31" si="39">AW25+AX25</f>
        <v>1896.99</v>
      </c>
      <c r="AW25" s="39">
        <f t="shared" ref="AW25:AW31" si="40">F25*AO25</f>
        <v>919.37999999999943</v>
      </c>
      <c r="AX25" s="39">
        <f t="shared" ref="AX25:AX31" si="41">F25*AP25</f>
        <v>977.61000000000058</v>
      </c>
      <c r="AY25" s="76" t="s">
        <v>195</v>
      </c>
      <c r="AZ25" s="76" t="s">
        <v>198</v>
      </c>
      <c r="BA25" s="69" t="s">
        <v>200</v>
      </c>
      <c r="BC25" s="39">
        <f t="shared" ref="BC25:BC31" si="42">AW25+AX25</f>
        <v>1896.99</v>
      </c>
      <c r="BD25" s="39">
        <f t="shared" ref="BD25:BD31" si="43">G25/(100-BE25)*100</f>
        <v>1896.99</v>
      </c>
      <c r="BE25" s="39">
        <v>0</v>
      </c>
      <c r="BF25" s="39">
        <f t="shared" ref="BF25:BF31" si="44">L25</f>
        <v>1.537E-2</v>
      </c>
      <c r="BH25" s="12">
        <f t="shared" ref="BH25:BH31" si="45">F25*AO25</f>
        <v>919.37999999999943</v>
      </c>
      <c r="BI25" s="12">
        <f t="shared" ref="BI25:BI31" si="46">F25*AP25</f>
        <v>977.61000000000058</v>
      </c>
      <c r="BJ25" s="12">
        <f t="shared" ref="BJ25:BJ31" si="47">F25*G25</f>
        <v>1896.99</v>
      </c>
    </row>
    <row r="26" spans="1:62">
      <c r="A26" s="3" t="s">
        <v>19</v>
      </c>
      <c r="B26" s="3"/>
      <c r="C26" s="3" t="s">
        <v>50</v>
      </c>
      <c r="D26" s="3" t="s">
        <v>82</v>
      </c>
      <c r="E26" s="3" t="s">
        <v>105</v>
      </c>
      <c r="F26" s="12">
        <f>'Rozpočet - vybrané sloupce'!E25</f>
        <v>1</v>
      </c>
      <c r="G26" s="12">
        <f>'Rozpočet - vybrané sloupce'!F25</f>
        <v>790</v>
      </c>
      <c r="H26" s="12">
        <f t="shared" si="24"/>
        <v>681.35000000000014</v>
      </c>
      <c r="I26" s="12">
        <f t="shared" si="25"/>
        <v>108.64999999999984</v>
      </c>
      <c r="J26" s="12">
        <f t="shared" si="26"/>
        <v>790</v>
      </c>
      <c r="K26" s="12">
        <v>6.6E-4</v>
      </c>
      <c r="L26" s="12">
        <f t="shared" si="27"/>
        <v>6.6E-4</v>
      </c>
      <c r="M26" s="73" t="s">
        <v>183</v>
      </c>
      <c r="Z26" s="39">
        <f t="shared" si="28"/>
        <v>0</v>
      </c>
      <c r="AB26" s="39">
        <f t="shared" si="29"/>
        <v>0</v>
      </c>
      <c r="AC26" s="39">
        <f t="shared" si="30"/>
        <v>0</v>
      </c>
      <c r="AD26" s="39">
        <f t="shared" si="31"/>
        <v>681.35000000000014</v>
      </c>
      <c r="AE26" s="39">
        <f t="shared" si="32"/>
        <v>108.64999999999984</v>
      </c>
      <c r="AF26" s="39">
        <f t="shared" si="33"/>
        <v>0</v>
      </c>
      <c r="AG26" s="39">
        <f t="shared" si="34"/>
        <v>0</v>
      </c>
      <c r="AH26" s="39">
        <f t="shared" si="35"/>
        <v>0</v>
      </c>
      <c r="AI26" s="69"/>
      <c r="AJ26" s="12">
        <f t="shared" si="36"/>
        <v>0</v>
      </c>
      <c r="AK26" s="12">
        <f t="shared" si="37"/>
        <v>0</v>
      </c>
      <c r="AL26" s="12">
        <f t="shared" si="38"/>
        <v>790</v>
      </c>
      <c r="AN26" s="39">
        <v>21</v>
      </c>
      <c r="AO26" s="39">
        <f>G26*0.86246835443038</f>
        <v>681.35000000000014</v>
      </c>
      <c r="AP26" s="39">
        <f>G26*(1-0.86246835443038)</f>
        <v>108.64999999999984</v>
      </c>
      <c r="AQ26" s="73" t="s">
        <v>13</v>
      </c>
      <c r="AV26" s="39">
        <f t="shared" si="39"/>
        <v>790</v>
      </c>
      <c r="AW26" s="39">
        <f t="shared" si="40"/>
        <v>681.35000000000014</v>
      </c>
      <c r="AX26" s="39">
        <f t="shared" si="41"/>
        <v>108.64999999999984</v>
      </c>
      <c r="AY26" s="76" t="s">
        <v>195</v>
      </c>
      <c r="AZ26" s="76" t="s">
        <v>198</v>
      </c>
      <c r="BA26" s="69" t="s">
        <v>200</v>
      </c>
      <c r="BC26" s="39">
        <f t="shared" si="42"/>
        <v>790</v>
      </c>
      <c r="BD26" s="39">
        <f t="shared" si="43"/>
        <v>790</v>
      </c>
      <c r="BE26" s="39">
        <v>0</v>
      </c>
      <c r="BF26" s="39">
        <f t="shared" si="44"/>
        <v>6.6E-4</v>
      </c>
      <c r="BH26" s="12">
        <f t="shared" si="45"/>
        <v>681.35000000000014</v>
      </c>
      <c r="BI26" s="12">
        <f t="shared" si="46"/>
        <v>108.64999999999984</v>
      </c>
      <c r="BJ26" s="12">
        <f t="shared" si="47"/>
        <v>790</v>
      </c>
    </row>
    <row r="27" spans="1:62">
      <c r="A27" s="3" t="s">
        <v>20</v>
      </c>
      <c r="B27" s="3"/>
      <c r="C27" s="3" t="s">
        <v>51</v>
      </c>
      <c r="D27" s="3" t="s">
        <v>83</v>
      </c>
      <c r="E27" s="3" t="s">
        <v>106</v>
      </c>
      <c r="F27" s="12">
        <f>'Rozpočet - vybrané sloupce'!E26</f>
        <v>24</v>
      </c>
      <c r="G27" s="12">
        <f>'Rozpočet - vybrané sloupce'!F26</f>
        <v>379.51</v>
      </c>
      <c r="H27" s="12">
        <f t="shared" si="24"/>
        <v>2234.6399999999967</v>
      </c>
      <c r="I27" s="12">
        <f t="shared" si="25"/>
        <v>6873.600000000004</v>
      </c>
      <c r="J27" s="12">
        <f t="shared" si="26"/>
        <v>9108.24</v>
      </c>
      <c r="K27" s="12">
        <v>5.1799999999999997E-3</v>
      </c>
      <c r="L27" s="12">
        <f t="shared" si="27"/>
        <v>0.12431999999999999</v>
      </c>
      <c r="M27" s="73" t="s">
        <v>183</v>
      </c>
      <c r="Z27" s="39">
        <f t="shared" si="28"/>
        <v>0</v>
      </c>
      <c r="AB27" s="39">
        <f t="shared" si="29"/>
        <v>0</v>
      </c>
      <c r="AC27" s="39">
        <f t="shared" si="30"/>
        <v>0</v>
      </c>
      <c r="AD27" s="39">
        <f t="shared" si="31"/>
        <v>2234.6399999999967</v>
      </c>
      <c r="AE27" s="39">
        <f t="shared" si="32"/>
        <v>6873.600000000004</v>
      </c>
      <c r="AF27" s="39">
        <f t="shared" si="33"/>
        <v>0</v>
      </c>
      <c r="AG27" s="39">
        <f t="shared" si="34"/>
        <v>0</v>
      </c>
      <c r="AH27" s="39">
        <f t="shared" si="35"/>
        <v>0</v>
      </c>
      <c r="AI27" s="69"/>
      <c r="AJ27" s="12">
        <f t="shared" si="36"/>
        <v>0</v>
      </c>
      <c r="AK27" s="12">
        <f t="shared" si="37"/>
        <v>0</v>
      </c>
      <c r="AL27" s="12">
        <f t="shared" si="38"/>
        <v>9108.24</v>
      </c>
      <c r="AN27" s="39">
        <v>21</v>
      </c>
      <c r="AO27" s="39">
        <f>G27*0.245342678717293</f>
        <v>93.109999999999872</v>
      </c>
      <c r="AP27" s="39">
        <f>G27*(1-0.245342678717293)</f>
        <v>286.40000000000015</v>
      </c>
      <c r="AQ27" s="73" t="s">
        <v>13</v>
      </c>
      <c r="AV27" s="39">
        <f t="shared" si="39"/>
        <v>9108.2400000000016</v>
      </c>
      <c r="AW27" s="39">
        <f t="shared" si="40"/>
        <v>2234.6399999999967</v>
      </c>
      <c r="AX27" s="39">
        <f t="shared" si="41"/>
        <v>6873.600000000004</v>
      </c>
      <c r="AY27" s="76" t="s">
        <v>195</v>
      </c>
      <c r="AZ27" s="76" t="s">
        <v>198</v>
      </c>
      <c r="BA27" s="69" t="s">
        <v>200</v>
      </c>
      <c r="BC27" s="39">
        <f t="shared" si="42"/>
        <v>9108.2400000000016</v>
      </c>
      <c r="BD27" s="39">
        <f t="shared" si="43"/>
        <v>379.51</v>
      </c>
      <c r="BE27" s="39">
        <v>0</v>
      </c>
      <c r="BF27" s="39">
        <f t="shared" si="44"/>
        <v>0.12431999999999999</v>
      </c>
      <c r="BH27" s="12">
        <f t="shared" si="45"/>
        <v>2234.6399999999967</v>
      </c>
      <c r="BI27" s="12">
        <f t="shared" si="46"/>
        <v>6873.600000000004</v>
      </c>
      <c r="BJ27" s="12">
        <f t="shared" si="47"/>
        <v>9108.24</v>
      </c>
    </row>
    <row r="28" spans="1:62">
      <c r="A28" s="3" t="s">
        <v>21</v>
      </c>
      <c r="B28" s="3"/>
      <c r="C28" s="3" t="s">
        <v>52</v>
      </c>
      <c r="D28" s="3" t="s">
        <v>84</v>
      </c>
      <c r="E28" s="3" t="s">
        <v>105</v>
      </c>
      <c r="F28" s="12">
        <f>'Rozpočet - vybrané sloupce'!E27</f>
        <v>1</v>
      </c>
      <c r="G28" s="12">
        <f>'Rozpočet - vybrané sloupce'!F27</f>
        <v>217.5</v>
      </c>
      <c r="H28" s="12">
        <f t="shared" si="24"/>
        <v>0</v>
      </c>
      <c r="I28" s="12">
        <f t="shared" si="25"/>
        <v>217.5</v>
      </c>
      <c r="J28" s="12">
        <f t="shared" si="26"/>
        <v>217.5</v>
      </c>
      <c r="K28" s="12">
        <v>0</v>
      </c>
      <c r="L28" s="12">
        <f t="shared" si="27"/>
        <v>0</v>
      </c>
      <c r="M28" s="73" t="s">
        <v>183</v>
      </c>
      <c r="Z28" s="39">
        <f t="shared" si="28"/>
        <v>0</v>
      </c>
      <c r="AB28" s="39">
        <f t="shared" si="29"/>
        <v>0</v>
      </c>
      <c r="AC28" s="39">
        <f t="shared" si="30"/>
        <v>0</v>
      </c>
      <c r="AD28" s="39">
        <f t="shared" si="31"/>
        <v>0</v>
      </c>
      <c r="AE28" s="39">
        <f t="shared" si="32"/>
        <v>217.5</v>
      </c>
      <c r="AF28" s="39">
        <f t="shared" si="33"/>
        <v>0</v>
      </c>
      <c r="AG28" s="39">
        <f t="shared" si="34"/>
        <v>0</v>
      </c>
      <c r="AH28" s="39">
        <f t="shared" si="35"/>
        <v>0</v>
      </c>
      <c r="AI28" s="69"/>
      <c r="AJ28" s="12">
        <f t="shared" si="36"/>
        <v>0</v>
      </c>
      <c r="AK28" s="12">
        <f t="shared" si="37"/>
        <v>0</v>
      </c>
      <c r="AL28" s="12">
        <f t="shared" si="38"/>
        <v>217.5</v>
      </c>
      <c r="AN28" s="39">
        <v>21</v>
      </c>
      <c r="AO28" s="39">
        <f>G28*0</f>
        <v>0</v>
      </c>
      <c r="AP28" s="39">
        <f>G28*(1-0)</f>
        <v>217.5</v>
      </c>
      <c r="AQ28" s="73" t="s">
        <v>13</v>
      </c>
      <c r="AV28" s="39">
        <f t="shared" si="39"/>
        <v>217.5</v>
      </c>
      <c r="AW28" s="39">
        <f t="shared" si="40"/>
        <v>0</v>
      </c>
      <c r="AX28" s="39">
        <f t="shared" si="41"/>
        <v>217.5</v>
      </c>
      <c r="AY28" s="76" t="s">
        <v>195</v>
      </c>
      <c r="AZ28" s="76" t="s">
        <v>198</v>
      </c>
      <c r="BA28" s="69" t="s">
        <v>200</v>
      </c>
      <c r="BC28" s="39">
        <f t="shared" si="42"/>
        <v>217.5</v>
      </c>
      <c r="BD28" s="39">
        <f t="shared" si="43"/>
        <v>217.49999999999997</v>
      </c>
      <c r="BE28" s="39">
        <v>0</v>
      </c>
      <c r="BF28" s="39">
        <f t="shared" si="44"/>
        <v>0</v>
      </c>
      <c r="BH28" s="12">
        <f t="shared" si="45"/>
        <v>0</v>
      </c>
      <c r="BI28" s="12">
        <f t="shared" si="46"/>
        <v>217.5</v>
      </c>
      <c r="BJ28" s="12">
        <f t="shared" si="47"/>
        <v>217.5</v>
      </c>
    </row>
    <row r="29" spans="1:62">
      <c r="A29" s="3" t="s">
        <v>22</v>
      </c>
      <c r="B29" s="3"/>
      <c r="C29" s="3" t="s">
        <v>53</v>
      </c>
      <c r="D29" s="3" t="s">
        <v>85</v>
      </c>
      <c r="E29" s="3" t="s">
        <v>106</v>
      </c>
      <c r="F29" s="12">
        <f>'Rozpočet - vybrané sloupce'!E28</f>
        <v>12</v>
      </c>
      <c r="G29" s="12">
        <f>'Rozpočet - vybrané sloupce'!F28</f>
        <v>80.3</v>
      </c>
      <c r="H29" s="12">
        <f t="shared" si="24"/>
        <v>289.91999999999973</v>
      </c>
      <c r="I29" s="12">
        <f t="shared" si="25"/>
        <v>673.68000000000029</v>
      </c>
      <c r="J29" s="12">
        <f t="shared" si="26"/>
        <v>963.59999999999991</v>
      </c>
      <c r="K29" s="12">
        <v>6.0000000000000002E-5</v>
      </c>
      <c r="L29" s="12">
        <f t="shared" si="27"/>
        <v>7.2000000000000005E-4</v>
      </c>
      <c r="M29" s="73" t="s">
        <v>183</v>
      </c>
      <c r="Z29" s="39">
        <f t="shared" si="28"/>
        <v>0</v>
      </c>
      <c r="AB29" s="39">
        <f t="shared" si="29"/>
        <v>0</v>
      </c>
      <c r="AC29" s="39">
        <f t="shared" si="30"/>
        <v>0</v>
      </c>
      <c r="AD29" s="39">
        <f t="shared" si="31"/>
        <v>289.91999999999973</v>
      </c>
      <c r="AE29" s="39">
        <f t="shared" si="32"/>
        <v>673.68000000000029</v>
      </c>
      <c r="AF29" s="39">
        <f t="shared" si="33"/>
        <v>0</v>
      </c>
      <c r="AG29" s="39">
        <f t="shared" si="34"/>
        <v>0</v>
      </c>
      <c r="AH29" s="39">
        <f t="shared" si="35"/>
        <v>0</v>
      </c>
      <c r="AI29" s="69"/>
      <c r="AJ29" s="12">
        <f t="shared" si="36"/>
        <v>0</v>
      </c>
      <c r="AK29" s="12">
        <f t="shared" si="37"/>
        <v>0</v>
      </c>
      <c r="AL29" s="12">
        <f t="shared" si="38"/>
        <v>963.59999999999991</v>
      </c>
      <c r="AN29" s="39">
        <v>21</v>
      </c>
      <c r="AO29" s="39">
        <f>G29*0.300871731008717</f>
        <v>24.159999999999975</v>
      </c>
      <c r="AP29" s="39">
        <f>G29*(1-0.300871731008717)</f>
        <v>56.140000000000022</v>
      </c>
      <c r="AQ29" s="73" t="s">
        <v>13</v>
      </c>
      <c r="AV29" s="39">
        <f t="shared" si="39"/>
        <v>963.6</v>
      </c>
      <c r="AW29" s="39">
        <f t="shared" si="40"/>
        <v>289.91999999999973</v>
      </c>
      <c r="AX29" s="39">
        <f t="shared" si="41"/>
        <v>673.68000000000029</v>
      </c>
      <c r="AY29" s="76" t="s">
        <v>195</v>
      </c>
      <c r="AZ29" s="76" t="s">
        <v>198</v>
      </c>
      <c r="BA29" s="69" t="s">
        <v>200</v>
      </c>
      <c r="BC29" s="39">
        <f t="shared" si="42"/>
        <v>963.6</v>
      </c>
      <c r="BD29" s="39">
        <f t="shared" si="43"/>
        <v>80.3</v>
      </c>
      <c r="BE29" s="39">
        <v>0</v>
      </c>
      <c r="BF29" s="39">
        <f t="shared" si="44"/>
        <v>7.2000000000000005E-4</v>
      </c>
      <c r="BH29" s="12">
        <f t="shared" si="45"/>
        <v>289.91999999999973</v>
      </c>
      <c r="BI29" s="12">
        <f t="shared" si="46"/>
        <v>673.68000000000029</v>
      </c>
      <c r="BJ29" s="12">
        <f t="shared" si="47"/>
        <v>963.59999999999991</v>
      </c>
    </row>
    <row r="30" spans="1:62">
      <c r="A30" s="3" t="s">
        <v>23</v>
      </c>
      <c r="B30" s="3"/>
      <c r="C30" s="3" t="s">
        <v>54</v>
      </c>
      <c r="D30" s="3" t="s">
        <v>86</v>
      </c>
      <c r="E30" s="3" t="s">
        <v>106</v>
      </c>
      <c r="F30" s="12">
        <f>'Rozpočet - vybrané sloupce'!E29</f>
        <v>23</v>
      </c>
      <c r="G30" s="12">
        <f>'Rozpočet - vybrané sloupce'!F29</f>
        <v>31.3</v>
      </c>
      <c r="H30" s="12">
        <f t="shared" si="24"/>
        <v>36.569999999999979</v>
      </c>
      <c r="I30" s="12">
        <f t="shared" si="25"/>
        <v>683.33000000000015</v>
      </c>
      <c r="J30" s="12">
        <f t="shared" si="26"/>
        <v>719.9</v>
      </c>
      <c r="K30" s="12">
        <v>1.0000000000000001E-5</v>
      </c>
      <c r="L30" s="12">
        <f t="shared" si="27"/>
        <v>2.3000000000000001E-4</v>
      </c>
      <c r="M30" s="73" t="s">
        <v>183</v>
      </c>
      <c r="Z30" s="39">
        <f t="shared" si="28"/>
        <v>0</v>
      </c>
      <c r="AB30" s="39">
        <f t="shared" si="29"/>
        <v>0</v>
      </c>
      <c r="AC30" s="39">
        <f t="shared" si="30"/>
        <v>0</v>
      </c>
      <c r="AD30" s="39">
        <f t="shared" si="31"/>
        <v>36.569999999999979</v>
      </c>
      <c r="AE30" s="39">
        <f t="shared" si="32"/>
        <v>683.33000000000015</v>
      </c>
      <c r="AF30" s="39">
        <f t="shared" si="33"/>
        <v>0</v>
      </c>
      <c r="AG30" s="39">
        <f t="shared" si="34"/>
        <v>0</v>
      </c>
      <c r="AH30" s="39">
        <f t="shared" si="35"/>
        <v>0</v>
      </c>
      <c r="AI30" s="69"/>
      <c r="AJ30" s="12">
        <f t="shared" si="36"/>
        <v>0</v>
      </c>
      <c r="AK30" s="12">
        <f t="shared" si="37"/>
        <v>0</v>
      </c>
      <c r="AL30" s="12">
        <f t="shared" si="38"/>
        <v>719.9</v>
      </c>
      <c r="AN30" s="39">
        <v>21</v>
      </c>
      <c r="AO30" s="39">
        <f>G30*0.0507987220447284</f>
        <v>1.589999999999999</v>
      </c>
      <c r="AP30" s="39">
        <f>G30*(1-0.0507987220447284)</f>
        <v>29.710000000000004</v>
      </c>
      <c r="AQ30" s="73" t="s">
        <v>13</v>
      </c>
      <c r="AV30" s="39">
        <f t="shared" si="39"/>
        <v>719.90000000000009</v>
      </c>
      <c r="AW30" s="39">
        <f t="shared" si="40"/>
        <v>36.569999999999979</v>
      </c>
      <c r="AX30" s="39">
        <f t="shared" si="41"/>
        <v>683.33000000000015</v>
      </c>
      <c r="AY30" s="76" t="s">
        <v>195</v>
      </c>
      <c r="AZ30" s="76" t="s">
        <v>198</v>
      </c>
      <c r="BA30" s="69" t="s">
        <v>200</v>
      </c>
      <c r="BC30" s="39">
        <f t="shared" si="42"/>
        <v>719.90000000000009</v>
      </c>
      <c r="BD30" s="39">
        <f t="shared" si="43"/>
        <v>31.3</v>
      </c>
      <c r="BE30" s="39">
        <v>0</v>
      </c>
      <c r="BF30" s="39">
        <f t="shared" si="44"/>
        <v>2.3000000000000001E-4</v>
      </c>
      <c r="BH30" s="12">
        <f t="shared" si="45"/>
        <v>36.569999999999979</v>
      </c>
      <c r="BI30" s="12">
        <f t="shared" si="46"/>
        <v>683.33000000000015</v>
      </c>
      <c r="BJ30" s="12">
        <f t="shared" si="47"/>
        <v>719.9</v>
      </c>
    </row>
    <row r="31" spans="1:62">
      <c r="A31" s="3" t="s">
        <v>24</v>
      </c>
      <c r="B31" s="3"/>
      <c r="C31" s="3" t="s">
        <v>55</v>
      </c>
      <c r="D31" s="3" t="s">
        <v>87</v>
      </c>
      <c r="E31" s="3" t="s">
        <v>106</v>
      </c>
      <c r="F31" s="12">
        <f>'Rozpočet - vybrané sloupce'!E30</f>
        <v>24</v>
      </c>
      <c r="G31" s="12">
        <f>'Rozpočet - vybrané sloupce'!F30</f>
        <v>43.6</v>
      </c>
      <c r="H31" s="12">
        <f t="shared" si="24"/>
        <v>217.68000000000023</v>
      </c>
      <c r="I31" s="12">
        <f t="shared" si="25"/>
        <v>828.7199999999998</v>
      </c>
      <c r="J31" s="12">
        <f t="shared" si="26"/>
        <v>1046.4000000000001</v>
      </c>
      <c r="K31" s="12">
        <v>1.8000000000000001E-4</v>
      </c>
      <c r="L31" s="12">
        <f t="shared" si="27"/>
        <v>4.3200000000000001E-3</v>
      </c>
      <c r="M31" s="73" t="s">
        <v>183</v>
      </c>
      <c r="Z31" s="39">
        <f t="shared" si="28"/>
        <v>0</v>
      </c>
      <c r="AB31" s="39">
        <f t="shared" si="29"/>
        <v>0</v>
      </c>
      <c r="AC31" s="39">
        <f t="shared" si="30"/>
        <v>0</v>
      </c>
      <c r="AD31" s="39">
        <f t="shared" si="31"/>
        <v>217.68000000000023</v>
      </c>
      <c r="AE31" s="39">
        <f t="shared" si="32"/>
        <v>828.7199999999998</v>
      </c>
      <c r="AF31" s="39">
        <f t="shared" si="33"/>
        <v>0</v>
      </c>
      <c r="AG31" s="39">
        <f t="shared" si="34"/>
        <v>0</v>
      </c>
      <c r="AH31" s="39">
        <f t="shared" si="35"/>
        <v>0</v>
      </c>
      <c r="AI31" s="69"/>
      <c r="AJ31" s="12">
        <f t="shared" si="36"/>
        <v>0</v>
      </c>
      <c r="AK31" s="12">
        <f t="shared" si="37"/>
        <v>0</v>
      </c>
      <c r="AL31" s="12">
        <f t="shared" si="38"/>
        <v>1046.4000000000001</v>
      </c>
      <c r="AN31" s="39">
        <v>21</v>
      </c>
      <c r="AO31" s="39">
        <f>G31*0.20802752293578</f>
        <v>9.0700000000000092</v>
      </c>
      <c r="AP31" s="39">
        <f>G31*(1-0.20802752293578)</f>
        <v>34.529999999999994</v>
      </c>
      <c r="AQ31" s="73" t="s">
        <v>13</v>
      </c>
      <c r="AV31" s="39">
        <f t="shared" si="39"/>
        <v>1046.4000000000001</v>
      </c>
      <c r="AW31" s="39">
        <f t="shared" si="40"/>
        <v>217.68000000000023</v>
      </c>
      <c r="AX31" s="39">
        <f t="shared" si="41"/>
        <v>828.7199999999998</v>
      </c>
      <c r="AY31" s="76" t="s">
        <v>195</v>
      </c>
      <c r="AZ31" s="76" t="s">
        <v>198</v>
      </c>
      <c r="BA31" s="69" t="s">
        <v>200</v>
      </c>
      <c r="BC31" s="39">
        <f t="shared" si="42"/>
        <v>1046.4000000000001</v>
      </c>
      <c r="BD31" s="39">
        <f t="shared" si="43"/>
        <v>43.6</v>
      </c>
      <c r="BE31" s="39">
        <v>0</v>
      </c>
      <c r="BF31" s="39">
        <f t="shared" si="44"/>
        <v>4.3200000000000001E-3</v>
      </c>
      <c r="BH31" s="12">
        <f t="shared" si="45"/>
        <v>217.68000000000023</v>
      </c>
      <c r="BI31" s="12">
        <f t="shared" si="46"/>
        <v>828.7199999999998</v>
      </c>
      <c r="BJ31" s="12">
        <f t="shared" si="47"/>
        <v>1046.4000000000001</v>
      </c>
    </row>
    <row r="32" spans="1:62">
      <c r="A32" s="59"/>
      <c r="B32" s="64"/>
      <c r="C32" s="64" t="s">
        <v>56</v>
      </c>
      <c r="D32" s="64" t="s">
        <v>88</v>
      </c>
      <c r="E32" s="59" t="s">
        <v>6</v>
      </c>
      <c r="F32" s="59" t="s">
        <v>6</v>
      </c>
      <c r="G32" s="59" t="s">
        <v>6</v>
      </c>
      <c r="H32" s="23">
        <f>SUM(H33:H37)</f>
        <v>3174.2900000000009</v>
      </c>
      <c r="I32" s="23">
        <f>SUM(I33:I37)</f>
        <v>7473.6999999999989</v>
      </c>
      <c r="J32" s="23">
        <f>SUM(J33:J37)</f>
        <v>10647.99</v>
      </c>
      <c r="K32" s="69"/>
      <c r="L32" s="23">
        <f>SUM(L33:L37)</f>
        <v>5.5300000000000002E-3</v>
      </c>
      <c r="M32" s="69"/>
      <c r="AI32" s="69"/>
      <c r="AS32" s="23">
        <f>SUM(AJ33:AJ37)</f>
        <v>0</v>
      </c>
      <c r="AT32" s="23">
        <f>SUM(AK33:AK37)</f>
        <v>0</v>
      </c>
      <c r="AU32" s="23">
        <f>SUM(AL33:AL37)</f>
        <v>10647.99</v>
      </c>
    </row>
    <row r="33" spans="1:62">
      <c r="A33" s="3" t="s">
        <v>25</v>
      </c>
      <c r="B33" s="3"/>
      <c r="C33" s="3" t="s">
        <v>57</v>
      </c>
      <c r="D33" s="3" t="s">
        <v>89</v>
      </c>
      <c r="E33" s="3" t="s">
        <v>105</v>
      </c>
      <c r="F33" s="12">
        <f>'Rozpočet - vybrané sloupce'!E32</f>
        <v>1</v>
      </c>
      <c r="G33" s="12">
        <f>'Rozpočet - vybrané sloupce'!F32</f>
        <v>335.99</v>
      </c>
      <c r="H33" s="12">
        <f>F33*AO33</f>
        <v>108.17000000000009</v>
      </c>
      <c r="I33" s="12">
        <f>F33*AP33</f>
        <v>227.81999999999994</v>
      </c>
      <c r="J33" s="12">
        <f>F33*G33</f>
        <v>335.99</v>
      </c>
      <c r="K33" s="12">
        <v>1.8000000000000001E-4</v>
      </c>
      <c r="L33" s="12">
        <f>F33*K33</f>
        <v>1.8000000000000001E-4</v>
      </c>
      <c r="M33" s="73" t="s">
        <v>183</v>
      </c>
      <c r="Z33" s="39">
        <f>IF(AQ33="5",BJ33,0)</f>
        <v>0</v>
      </c>
      <c r="AB33" s="39">
        <f>IF(AQ33="1",BH33,0)</f>
        <v>0</v>
      </c>
      <c r="AC33" s="39">
        <f>IF(AQ33="1",BI33,0)</f>
        <v>0</v>
      </c>
      <c r="AD33" s="39">
        <f>IF(AQ33="7",BH33,0)</f>
        <v>108.17000000000009</v>
      </c>
      <c r="AE33" s="39">
        <f>IF(AQ33="7",BI33,0)</f>
        <v>227.81999999999994</v>
      </c>
      <c r="AF33" s="39">
        <f>IF(AQ33="2",BH33,0)</f>
        <v>0</v>
      </c>
      <c r="AG33" s="39">
        <f>IF(AQ33="2",BI33,0)</f>
        <v>0</v>
      </c>
      <c r="AH33" s="39">
        <f>IF(AQ33="0",BJ33,0)</f>
        <v>0</v>
      </c>
      <c r="AI33" s="69"/>
      <c r="AJ33" s="12">
        <f>IF(AN33=0,J33,0)</f>
        <v>0</v>
      </c>
      <c r="AK33" s="12">
        <f>IF(AN33=15,J33,0)</f>
        <v>0</v>
      </c>
      <c r="AL33" s="12">
        <f>IF(AN33=21,J33,0)</f>
        <v>335.99</v>
      </c>
      <c r="AN33" s="39">
        <v>21</v>
      </c>
      <c r="AO33" s="39">
        <f>G33*0.32194410547933</f>
        <v>108.17000000000009</v>
      </c>
      <c r="AP33" s="39">
        <f>G33*(1-0.32194410547933)</f>
        <v>227.81999999999994</v>
      </c>
      <c r="AQ33" s="73" t="s">
        <v>13</v>
      </c>
      <c r="AV33" s="39">
        <f>AW33+AX33</f>
        <v>335.99</v>
      </c>
      <c r="AW33" s="39">
        <f>F33*AO33</f>
        <v>108.17000000000009</v>
      </c>
      <c r="AX33" s="39">
        <f>F33*AP33</f>
        <v>227.81999999999994</v>
      </c>
      <c r="AY33" s="76" t="s">
        <v>196</v>
      </c>
      <c r="AZ33" s="76" t="s">
        <v>198</v>
      </c>
      <c r="BA33" s="69" t="s">
        <v>200</v>
      </c>
      <c r="BC33" s="39">
        <f>AW33+AX33</f>
        <v>335.99</v>
      </c>
      <c r="BD33" s="39">
        <f>G33/(100-BE33)*100</f>
        <v>335.99</v>
      </c>
      <c r="BE33" s="39">
        <v>0</v>
      </c>
      <c r="BF33" s="39">
        <f>L33</f>
        <v>1.8000000000000001E-4</v>
      </c>
      <c r="BH33" s="12">
        <f>F33*AO33</f>
        <v>108.17000000000009</v>
      </c>
      <c r="BI33" s="12">
        <f>F33*AP33</f>
        <v>227.81999999999994</v>
      </c>
      <c r="BJ33" s="12">
        <f>F33*G33</f>
        <v>335.99</v>
      </c>
    </row>
    <row r="34" spans="1:62">
      <c r="A34" s="3" t="s">
        <v>26</v>
      </c>
      <c r="B34" s="3"/>
      <c r="C34" s="3" t="s">
        <v>58</v>
      </c>
      <c r="D34" s="3" t="s">
        <v>90</v>
      </c>
      <c r="E34" s="3" t="s">
        <v>105</v>
      </c>
      <c r="F34" s="12">
        <f>'Rozpočet - vybrané sloupce'!E33</f>
        <v>2</v>
      </c>
      <c r="G34" s="12">
        <f>'Rozpočet - vybrané sloupce'!F33</f>
        <v>1439</v>
      </c>
      <c r="H34" s="12">
        <f>F34*AO34</f>
        <v>2642.5200000000009</v>
      </c>
      <c r="I34" s="12">
        <f>F34*AP34</f>
        <v>235.47999999999914</v>
      </c>
      <c r="J34" s="12">
        <f>F34*G34</f>
        <v>2878</v>
      </c>
      <c r="K34" s="12">
        <v>7.2999999999999996E-4</v>
      </c>
      <c r="L34" s="12">
        <f>F34*K34</f>
        <v>1.4599999999999999E-3</v>
      </c>
      <c r="M34" s="73" t="s">
        <v>183</v>
      </c>
      <c r="Z34" s="39">
        <f>IF(AQ34="5",BJ34,0)</f>
        <v>0</v>
      </c>
      <c r="AB34" s="39">
        <f>IF(AQ34="1",BH34,0)</f>
        <v>0</v>
      </c>
      <c r="AC34" s="39">
        <f>IF(AQ34="1",BI34,0)</f>
        <v>0</v>
      </c>
      <c r="AD34" s="39">
        <f>IF(AQ34="7",BH34,0)</f>
        <v>2642.5200000000009</v>
      </c>
      <c r="AE34" s="39">
        <f>IF(AQ34="7",BI34,0)</f>
        <v>235.47999999999914</v>
      </c>
      <c r="AF34" s="39">
        <f>IF(AQ34="2",BH34,0)</f>
        <v>0</v>
      </c>
      <c r="AG34" s="39">
        <f>IF(AQ34="2",BI34,0)</f>
        <v>0</v>
      </c>
      <c r="AH34" s="39">
        <f>IF(AQ34="0",BJ34,0)</f>
        <v>0</v>
      </c>
      <c r="AI34" s="69"/>
      <c r="AJ34" s="12">
        <f>IF(AN34=0,J34,0)</f>
        <v>0</v>
      </c>
      <c r="AK34" s="12">
        <f>IF(AN34=15,J34,0)</f>
        <v>0</v>
      </c>
      <c r="AL34" s="12">
        <f>IF(AN34=21,J34,0)</f>
        <v>2878</v>
      </c>
      <c r="AN34" s="39">
        <v>21</v>
      </c>
      <c r="AO34" s="39">
        <f>G34*0.918179291174427</f>
        <v>1321.2600000000004</v>
      </c>
      <c r="AP34" s="39">
        <f>G34*(1-0.918179291174427)</f>
        <v>117.73999999999957</v>
      </c>
      <c r="AQ34" s="73" t="s">
        <v>13</v>
      </c>
      <c r="AV34" s="39">
        <f>AW34+AX34</f>
        <v>2878</v>
      </c>
      <c r="AW34" s="39">
        <f>F34*AO34</f>
        <v>2642.5200000000009</v>
      </c>
      <c r="AX34" s="39">
        <f>F34*AP34</f>
        <v>235.47999999999914</v>
      </c>
      <c r="AY34" s="76" t="s">
        <v>196</v>
      </c>
      <c r="AZ34" s="76" t="s">
        <v>198</v>
      </c>
      <c r="BA34" s="69" t="s">
        <v>200</v>
      </c>
      <c r="BC34" s="39">
        <f>AW34+AX34</f>
        <v>2878</v>
      </c>
      <c r="BD34" s="39">
        <f>G34/(100-BE34)*100</f>
        <v>1439</v>
      </c>
      <c r="BE34" s="39">
        <v>0</v>
      </c>
      <c r="BF34" s="39">
        <f>L34</f>
        <v>1.4599999999999999E-3</v>
      </c>
      <c r="BH34" s="12">
        <f>F34*AO34</f>
        <v>2642.5200000000009</v>
      </c>
      <c r="BI34" s="12">
        <f>F34*AP34</f>
        <v>235.47999999999914</v>
      </c>
      <c r="BJ34" s="12">
        <f>F34*G34</f>
        <v>2878</v>
      </c>
    </row>
    <row r="35" spans="1:62">
      <c r="A35" s="3" t="s">
        <v>27</v>
      </c>
      <c r="B35" s="3"/>
      <c r="C35" s="3" t="s">
        <v>59</v>
      </c>
      <c r="D35" s="3" t="s">
        <v>91</v>
      </c>
      <c r="E35" s="3" t="s">
        <v>105</v>
      </c>
      <c r="F35" s="12">
        <f>'Rozpočet - vybrané sloupce'!E34</f>
        <v>1</v>
      </c>
      <c r="G35" s="12">
        <f>'Rozpočet - vybrané sloupce'!F34</f>
        <v>305</v>
      </c>
      <c r="H35" s="12">
        <f>F35*AO35</f>
        <v>127.9</v>
      </c>
      <c r="I35" s="12">
        <f>F35*AP35</f>
        <v>177.09999999999997</v>
      </c>
      <c r="J35" s="12">
        <f>F35*G35</f>
        <v>305</v>
      </c>
      <c r="K35" s="12">
        <v>8.0000000000000004E-4</v>
      </c>
      <c r="L35" s="12">
        <f>F35*K35</f>
        <v>8.0000000000000004E-4</v>
      </c>
      <c r="M35" s="73" t="s">
        <v>183</v>
      </c>
      <c r="Z35" s="39">
        <f>IF(AQ35="5",BJ35,0)</f>
        <v>0</v>
      </c>
      <c r="AB35" s="39">
        <f>IF(AQ35="1",BH35,0)</f>
        <v>0</v>
      </c>
      <c r="AC35" s="39">
        <f>IF(AQ35="1",BI35,0)</f>
        <v>0</v>
      </c>
      <c r="AD35" s="39">
        <f>IF(AQ35="7",BH35,0)</f>
        <v>127.9</v>
      </c>
      <c r="AE35" s="39">
        <f>IF(AQ35="7",BI35,0)</f>
        <v>177.09999999999997</v>
      </c>
      <c r="AF35" s="39">
        <f>IF(AQ35="2",BH35,0)</f>
        <v>0</v>
      </c>
      <c r="AG35" s="39">
        <f>IF(AQ35="2",BI35,0)</f>
        <v>0</v>
      </c>
      <c r="AH35" s="39">
        <f>IF(AQ35="0",BJ35,0)</f>
        <v>0</v>
      </c>
      <c r="AI35" s="69"/>
      <c r="AJ35" s="12">
        <f>IF(AN35=0,J35,0)</f>
        <v>0</v>
      </c>
      <c r="AK35" s="12">
        <f>IF(AN35=15,J35,0)</f>
        <v>0</v>
      </c>
      <c r="AL35" s="12">
        <f>IF(AN35=21,J35,0)</f>
        <v>305</v>
      </c>
      <c r="AN35" s="39">
        <v>21</v>
      </c>
      <c r="AO35" s="39">
        <f>G35*0.419344262295082</f>
        <v>127.9</v>
      </c>
      <c r="AP35" s="39">
        <f>G35*(1-0.419344262295082)</f>
        <v>177.09999999999997</v>
      </c>
      <c r="AQ35" s="73" t="s">
        <v>13</v>
      </c>
      <c r="AV35" s="39">
        <f>AW35+AX35</f>
        <v>305</v>
      </c>
      <c r="AW35" s="39">
        <f>F35*AO35</f>
        <v>127.9</v>
      </c>
      <c r="AX35" s="39">
        <f>F35*AP35</f>
        <v>177.09999999999997</v>
      </c>
      <c r="AY35" s="76" t="s">
        <v>196</v>
      </c>
      <c r="AZ35" s="76" t="s">
        <v>198</v>
      </c>
      <c r="BA35" s="69" t="s">
        <v>200</v>
      </c>
      <c r="BC35" s="39">
        <f>AW35+AX35</f>
        <v>305</v>
      </c>
      <c r="BD35" s="39">
        <f>G35/(100-BE35)*100</f>
        <v>305</v>
      </c>
      <c r="BE35" s="39">
        <v>0</v>
      </c>
      <c r="BF35" s="39">
        <f>L35</f>
        <v>8.0000000000000004E-4</v>
      </c>
      <c r="BH35" s="12">
        <f>F35*AO35</f>
        <v>127.9</v>
      </c>
      <c r="BI35" s="12">
        <f>F35*AP35</f>
        <v>177.09999999999997</v>
      </c>
      <c r="BJ35" s="12">
        <f>F35*G35</f>
        <v>305</v>
      </c>
    </row>
    <row r="36" spans="1:62">
      <c r="A36" s="3" t="s">
        <v>28</v>
      </c>
      <c r="B36" s="3"/>
      <c r="C36" s="3" t="s">
        <v>60</v>
      </c>
      <c r="D36" s="3" t="s">
        <v>92</v>
      </c>
      <c r="E36" s="3" t="s">
        <v>105</v>
      </c>
      <c r="F36" s="12">
        <f>'Rozpočet - vybrané sloupce'!E35</f>
        <v>1</v>
      </c>
      <c r="G36" s="12">
        <f>'Rozpočet - vybrané sloupce'!F35</f>
        <v>894</v>
      </c>
      <c r="H36" s="12">
        <f>F36*AO36</f>
        <v>295.69999999999976</v>
      </c>
      <c r="I36" s="12">
        <f>F36*AP36</f>
        <v>598.3000000000003</v>
      </c>
      <c r="J36" s="12">
        <f>F36*G36</f>
        <v>894</v>
      </c>
      <c r="K36" s="12">
        <v>3.0899999999999999E-3</v>
      </c>
      <c r="L36" s="12">
        <f>F36*K36</f>
        <v>3.0899999999999999E-3</v>
      </c>
      <c r="M36" s="73" t="s">
        <v>183</v>
      </c>
      <c r="Z36" s="39">
        <f>IF(AQ36="5",BJ36,0)</f>
        <v>0</v>
      </c>
      <c r="AB36" s="39">
        <f>IF(AQ36="1",BH36,0)</f>
        <v>0</v>
      </c>
      <c r="AC36" s="39">
        <f>IF(AQ36="1",BI36,0)</f>
        <v>0</v>
      </c>
      <c r="AD36" s="39">
        <f>IF(AQ36="7",BH36,0)</f>
        <v>295.69999999999976</v>
      </c>
      <c r="AE36" s="39">
        <f>IF(AQ36="7",BI36,0)</f>
        <v>598.3000000000003</v>
      </c>
      <c r="AF36" s="39">
        <f>IF(AQ36="2",BH36,0)</f>
        <v>0</v>
      </c>
      <c r="AG36" s="39">
        <f>IF(AQ36="2",BI36,0)</f>
        <v>0</v>
      </c>
      <c r="AH36" s="39">
        <f>IF(AQ36="0",BJ36,0)</f>
        <v>0</v>
      </c>
      <c r="AI36" s="69"/>
      <c r="AJ36" s="12">
        <f>IF(AN36=0,J36,0)</f>
        <v>0</v>
      </c>
      <c r="AK36" s="12">
        <f>IF(AN36=15,J36,0)</f>
        <v>0</v>
      </c>
      <c r="AL36" s="12">
        <f>IF(AN36=21,J36,0)</f>
        <v>894</v>
      </c>
      <c r="AN36" s="39">
        <v>21</v>
      </c>
      <c r="AO36" s="39">
        <f>G36*0.33076062639821</f>
        <v>295.69999999999976</v>
      </c>
      <c r="AP36" s="39">
        <f>G36*(1-0.33076062639821)</f>
        <v>598.3000000000003</v>
      </c>
      <c r="AQ36" s="73" t="s">
        <v>13</v>
      </c>
      <c r="AV36" s="39">
        <f>AW36+AX36</f>
        <v>894</v>
      </c>
      <c r="AW36" s="39">
        <f>F36*AO36</f>
        <v>295.69999999999976</v>
      </c>
      <c r="AX36" s="39">
        <f>F36*AP36</f>
        <v>598.3000000000003</v>
      </c>
      <c r="AY36" s="76" t="s">
        <v>196</v>
      </c>
      <c r="AZ36" s="76" t="s">
        <v>198</v>
      </c>
      <c r="BA36" s="69" t="s">
        <v>200</v>
      </c>
      <c r="BC36" s="39">
        <f>AW36+AX36</f>
        <v>894</v>
      </c>
      <c r="BD36" s="39">
        <f>G36/(100-BE36)*100</f>
        <v>894</v>
      </c>
      <c r="BE36" s="39">
        <v>0</v>
      </c>
      <c r="BF36" s="39">
        <f>L36</f>
        <v>3.0899999999999999E-3</v>
      </c>
      <c r="BH36" s="12">
        <f>F36*AO36</f>
        <v>295.69999999999976</v>
      </c>
      <c r="BI36" s="12">
        <f>F36*AP36</f>
        <v>598.3000000000003</v>
      </c>
      <c r="BJ36" s="12">
        <f>F36*G36</f>
        <v>894</v>
      </c>
    </row>
    <row r="37" spans="1:62">
      <c r="A37" s="3" t="s">
        <v>29</v>
      </c>
      <c r="B37" s="3"/>
      <c r="C37" s="3" t="s">
        <v>61</v>
      </c>
      <c r="D37" s="3" t="s">
        <v>93</v>
      </c>
      <c r="E37" s="3" t="s">
        <v>109</v>
      </c>
      <c r="F37" s="12">
        <f>'Rozpočet - vybrané sloupce'!E36</f>
        <v>1</v>
      </c>
      <c r="G37" s="12">
        <f>'Rozpočet - vybrané sloupce'!F36</f>
        <v>6235</v>
      </c>
      <c r="H37" s="12">
        <f>F37*AO37</f>
        <v>0</v>
      </c>
      <c r="I37" s="12">
        <f>F37*AP37</f>
        <v>6235</v>
      </c>
      <c r="J37" s="12">
        <f>F37*G37</f>
        <v>6235</v>
      </c>
      <c r="K37" s="12">
        <v>0</v>
      </c>
      <c r="L37" s="12">
        <f>F37*K37</f>
        <v>0</v>
      </c>
      <c r="M37" s="73"/>
      <c r="Z37" s="39">
        <f>IF(AQ37="5",BJ37,0)</f>
        <v>0</v>
      </c>
      <c r="AB37" s="39">
        <f>IF(AQ37="1",BH37,0)</f>
        <v>0</v>
      </c>
      <c r="AC37" s="39">
        <f>IF(AQ37="1",BI37,0)</f>
        <v>0</v>
      </c>
      <c r="AD37" s="39">
        <f>IF(AQ37="7",BH37,0)</f>
        <v>0</v>
      </c>
      <c r="AE37" s="39">
        <f>IF(AQ37="7",BI37,0)</f>
        <v>6235</v>
      </c>
      <c r="AF37" s="39">
        <f>IF(AQ37="2",BH37,0)</f>
        <v>0</v>
      </c>
      <c r="AG37" s="39">
        <f>IF(AQ37="2",BI37,0)</f>
        <v>0</v>
      </c>
      <c r="AH37" s="39">
        <f>IF(AQ37="0",BJ37,0)</f>
        <v>0</v>
      </c>
      <c r="AI37" s="69"/>
      <c r="AJ37" s="12">
        <f>IF(AN37=0,J37,0)</f>
        <v>0</v>
      </c>
      <c r="AK37" s="12">
        <f>IF(AN37=15,J37,0)</f>
        <v>0</v>
      </c>
      <c r="AL37" s="12">
        <f>IF(AN37=21,J37,0)</f>
        <v>6235</v>
      </c>
      <c r="AN37" s="39">
        <v>21</v>
      </c>
      <c r="AO37" s="39">
        <f>G37*0</f>
        <v>0</v>
      </c>
      <c r="AP37" s="39">
        <f>G37*(1-0)</f>
        <v>6235</v>
      </c>
      <c r="AQ37" s="73" t="s">
        <v>13</v>
      </c>
      <c r="AV37" s="39">
        <f>AW37+AX37</f>
        <v>6235</v>
      </c>
      <c r="AW37" s="39">
        <f>F37*AO37</f>
        <v>0</v>
      </c>
      <c r="AX37" s="39">
        <f>F37*AP37</f>
        <v>6235</v>
      </c>
      <c r="AY37" s="76" t="s">
        <v>196</v>
      </c>
      <c r="AZ37" s="76" t="s">
        <v>198</v>
      </c>
      <c r="BA37" s="69" t="s">
        <v>200</v>
      </c>
      <c r="BC37" s="39">
        <f>AW37+AX37</f>
        <v>6235</v>
      </c>
      <c r="BD37" s="39">
        <f>G37/(100-BE37)*100</f>
        <v>6235</v>
      </c>
      <c r="BE37" s="39">
        <v>0</v>
      </c>
      <c r="BF37" s="39">
        <f>L37</f>
        <v>0</v>
      </c>
      <c r="BH37" s="12">
        <f>F37*AO37</f>
        <v>0</v>
      </c>
      <c r="BI37" s="12">
        <f>F37*AP37</f>
        <v>6235</v>
      </c>
      <c r="BJ37" s="12">
        <f>F37*G37</f>
        <v>6235</v>
      </c>
    </row>
    <row r="38" spans="1:62">
      <c r="A38" s="59"/>
      <c r="B38" s="64"/>
      <c r="C38" s="64"/>
      <c r="D38" s="64" t="s">
        <v>94</v>
      </c>
      <c r="E38" s="59" t="s">
        <v>6</v>
      </c>
      <c r="F38" s="59" t="s">
        <v>6</v>
      </c>
      <c r="G38" s="59" t="s">
        <v>6</v>
      </c>
      <c r="H38" s="23">
        <f>SUM(H39:H43)</f>
        <v>46356.97</v>
      </c>
      <c r="I38" s="23">
        <f>SUM(I39:I43)</f>
        <v>0</v>
      </c>
      <c r="J38" s="23">
        <f>SUM(J39:J43)</f>
        <v>46356.97</v>
      </c>
      <c r="K38" s="69"/>
      <c r="L38" s="23">
        <f>SUM(L39:L43)</f>
        <v>1.0999999999999999E-2</v>
      </c>
      <c r="M38" s="69"/>
      <c r="AI38" s="69"/>
      <c r="AS38" s="23">
        <f>SUM(AJ39:AJ43)</f>
        <v>0</v>
      </c>
      <c r="AT38" s="23">
        <f>SUM(AK39:AK43)</f>
        <v>0</v>
      </c>
      <c r="AU38" s="23">
        <f>SUM(AL39:AL43)</f>
        <v>46356.97</v>
      </c>
    </row>
    <row r="39" spans="1:62">
      <c r="A39" s="5" t="s">
        <v>30</v>
      </c>
      <c r="B39" s="5"/>
      <c r="C39" s="5" t="s">
        <v>62</v>
      </c>
      <c r="D39" s="5" t="s">
        <v>95</v>
      </c>
      <c r="E39" s="5" t="s">
        <v>109</v>
      </c>
      <c r="F39" s="14">
        <f>'Rozpočet - vybrané sloupce'!E38</f>
        <v>1</v>
      </c>
      <c r="G39" s="14">
        <f>'Rozpočet - vybrané sloupce'!F38</f>
        <v>3200</v>
      </c>
      <c r="H39" s="14">
        <f>F39*AO39</f>
        <v>3200</v>
      </c>
      <c r="I39" s="14">
        <f>F39*AP39</f>
        <v>0</v>
      </c>
      <c r="J39" s="14">
        <f>F39*G39</f>
        <v>3200</v>
      </c>
      <c r="K39" s="14">
        <v>0</v>
      </c>
      <c r="L39" s="14">
        <f>F39*K39</f>
        <v>0</v>
      </c>
      <c r="M39" s="74"/>
      <c r="Z39" s="39">
        <f>IF(AQ39="5",BJ39,0)</f>
        <v>0</v>
      </c>
      <c r="AB39" s="39">
        <f>IF(AQ39="1",BH39,0)</f>
        <v>0</v>
      </c>
      <c r="AC39" s="39">
        <f>IF(AQ39="1",BI39,0)</f>
        <v>0</v>
      </c>
      <c r="AD39" s="39">
        <f>IF(AQ39="7",BH39,0)</f>
        <v>0</v>
      </c>
      <c r="AE39" s="39">
        <f>IF(AQ39="7",BI39,0)</f>
        <v>0</v>
      </c>
      <c r="AF39" s="39">
        <f>IF(AQ39="2",BH39,0)</f>
        <v>0</v>
      </c>
      <c r="AG39" s="39">
        <f>IF(AQ39="2",BI39,0)</f>
        <v>0</v>
      </c>
      <c r="AH39" s="39">
        <f>IF(AQ39="0",BJ39,0)</f>
        <v>3200</v>
      </c>
      <c r="AI39" s="69"/>
      <c r="AJ39" s="14">
        <f>IF(AN39=0,J39,0)</f>
        <v>0</v>
      </c>
      <c r="AK39" s="14">
        <f>IF(AN39=15,J39,0)</f>
        <v>0</v>
      </c>
      <c r="AL39" s="14">
        <f>IF(AN39=21,J39,0)</f>
        <v>3200</v>
      </c>
      <c r="AN39" s="39">
        <v>21</v>
      </c>
      <c r="AO39" s="39">
        <f>G39*1</f>
        <v>3200</v>
      </c>
      <c r="AP39" s="39">
        <f>G39*(1-1)</f>
        <v>0</v>
      </c>
      <c r="AQ39" s="74" t="s">
        <v>193</v>
      </c>
      <c r="AV39" s="39">
        <f>AW39+AX39</f>
        <v>3200</v>
      </c>
      <c r="AW39" s="39">
        <f>F39*AO39</f>
        <v>3200</v>
      </c>
      <c r="AX39" s="39">
        <f>F39*AP39</f>
        <v>0</v>
      </c>
      <c r="AY39" s="76" t="s">
        <v>197</v>
      </c>
      <c r="AZ39" s="76" t="s">
        <v>199</v>
      </c>
      <c r="BA39" s="69" t="s">
        <v>200</v>
      </c>
      <c r="BC39" s="39">
        <f>AW39+AX39</f>
        <v>3200</v>
      </c>
      <c r="BD39" s="39">
        <f>G39/(100-BE39)*100</f>
        <v>3200</v>
      </c>
      <c r="BE39" s="39">
        <v>0</v>
      </c>
      <c r="BF39" s="39">
        <f>L39</f>
        <v>0</v>
      </c>
      <c r="BH39" s="14">
        <f>F39*AO39</f>
        <v>3200</v>
      </c>
      <c r="BI39" s="14">
        <f>F39*AP39</f>
        <v>0</v>
      </c>
      <c r="BJ39" s="14">
        <f>F39*G39</f>
        <v>3200</v>
      </c>
    </row>
    <row r="40" spans="1:62">
      <c r="A40" s="5" t="s">
        <v>31</v>
      </c>
      <c r="B40" s="5"/>
      <c r="C40" s="5" t="s">
        <v>63</v>
      </c>
      <c r="D40" s="5" t="s">
        <v>96</v>
      </c>
      <c r="E40" s="5" t="s">
        <v>107</v>
      </c>
      <c r="F40" s="14">
        <f>'Rozpočet - vybrané sloupce'!E39</f>
        <v>6</v>
      </c>
      <c r="G40" s="14">
        <f>'Rozpočet - vybrané sloupce'!F39</f>
        <v>51</v>
      </c>
      <c r="H40" s="14">
        <f>F40*AO40</f>
        <v>306</v>
      </c>
      <c r="I40" s="14">
        <f>F40*AP40</f>
        <v>0</v>
      </c>
      <c r="J40" s="14">
        <f>F40*G40</f>
        <v>306</v>
      </c>
      <c r="K40" s="14">
        <v>0</v>
      </c>
      <c r="L40" s="14">
        <f>F40*K40</f>
        <v>0</v>
      </c>
      <c r="M40" s="74"/>
      <c r="Z40" s="39">
        <f>IF(AQ40="5",BJ40,0)</f>
        <v>0</v>
      </c>
      <c r="AB40" s="39">
        <f>IF(AQ40="1",BH40,0)</f>
        <v>0</v>
      </c>
      <c r="AC40" s="39">
        <f>IF(AQ40="1",BI40,0)</f>
        <v>0</v>
      </c>
      <c r="AD40" s="39">
        <f>IF(AQ40="7",BH40,0)</f>
        <v>0</v>
      </c>
      <c r="AE40" s="39">
        <f>IF(AQ40="7",BI40,0)</f>
        <v>0</v>
      </c>
      <c r="AF40" s="39">
        <f>IF(AQ40="2",BH40,0)</f>
        <v>0</v>
      </c>
      <c r="AG40" s="39">
        <f>IF(AQ40="2",BI40,0)</f>
        <v>0</v>
      </c>
      <c r="AH40" s="39">
        <f>IF(AQ40="0",BJ40,0)</f>
        <v>306</v>
      </c>
      <c r="AI40" s="69"/>
      <c r="AJ40" s="14">
        <f>IF(AN40=0,J40,0)</f>
        <v>0</v>
      </c>
      <c r="AK40" s="14">
        <f>IF(AN40=15,J40,0)</f>
        <v>0</v>
      </c>
      <c r="AL40" s="14">
        <f>IF(AN40=21,J40,0)</f>
        <v>306</v>
      </c>
      <c r="AN40" s="39">
        <v>21</v>
      </c>
      <c r="AO40" s="39">
        <f>G40*1</f>
        <v>51</v>
      </c>
      <c r="AP40" s="39">
        <f>G40*(1-1)</f>
        <v>0</v>
      </c>
      <c r="AQ40" s="74" t="s">
        <v>193</v>
      </c>
      <c r="AV40" s="39">
        <f>AW40+AX40</f>
        <v>306</v>
      </c>
      <c r="AW40" s="39">
        <f>F40*AO40</f>
        <v>306</v>
      </c>
      <c r="AX40" s="39">
        <f>F40*AP40</f>
        <v>0</v>
      </c>
      <c r="AY40" s="76" t="s">
        <v>197</v>
      </c>
      <c r="AZ40" s="76" t="s">
        <v>199</v>
      </c>
      <c r="BA40" s="69" t="s">
        <v>200</v>
      </c>
      <c r="BC40" s="39">
        <f>AW40+AX40</f>
        <v>306</v>
      </c>
      <c r="BD40" s="39">
        <f>G40/(100-BE40)*100</f>
        <v>51</v>
      </c>
      <c r="BE40" s="39">
        <v>0</v>
      </c>
      <c r="BF40" s="39">
        <f>L40</f>
        <v>0</v>
      </c>
      <c r="BH40" s="14">
        <f>F40*AO40</f>
        <v>306</v>
      </c>
      <c r="BI40" s="14">
        <f>F40*AP40</f>
        <v>0</v>
      </c>
      <c r="BJ40" s="14">
        <f>F40*G40</f>
        <v>306</v>
      </c>
    </row>
    <row r="41" spans="1:62">
      <c r="A41" s="5" t="s">
        <v>32</v>
      </c>
      <c r="B41" s="5"/>
      <c r="C41" s="5" t="s">
        <v>64</v>
      </c>
      <c r="D41" s="5" t="s">
        <v>97</v>
      </c>
      <c r="E41" s="5" t="s">
        <v>107</v>
      </c>
      <c r="F41" s="14">
        <f>'Rozpočet - vybrané sloupce'!E40</f>
        <v>1</v>
      </c>
      <c r="G41" s="14">
        <f>'Rozpočet - vybrané sloupce'!F40</f>
        <v>412</v>
      </c>
      <c r="H41" s="14">
        <f>F41*AO41</f>
        <v>412</v>
      </c>
      <c r="I41" s="14">
        <f>F41*AP41</f>
        <v>0</v>
      </c>
      <c r="J41" s="14">
        <f>F41*G41</f>
        <v>412</v>
      </c>
      <c r="K41" s="14">
        <v>0</v>
      </c>
      <c r="L41" s="14">
        <f>F41*K41</f>
        <v>0</v>
      </c>
      <c r="M41" s="74"/>
      <c r="Z41" s="39">
        <f>IF(AQ41="5",BJ41,0)</f>
        <v>0</v>
      </c>
      <c r="AB41" s="39">
        <f>IF(AQ41="1",BH41,0)</f>
        <v>0</v>
      </c>
      <c r="AC41" s="39">
        <f>IF(AQ41="1",BI41,0)</f>
        <v>0</v>
      </c>
      <c r="AD41" s="39">
        <f>IF(AQ41="7",BH41,0)</f>
        <v>0</v>
      </c>
      <c r="AE41" s="39">
        <f>IF(AQ41="7",BI41,0)</f>
        <v>0</v>
      </c>
      <c r="AF41" s="39">
        <f>IF(AQ41="2",BH41,0)</f>
        <v>0</v>
      </c>
      <c r="AG41" s="39">
        <f>IF(AQ41="2",BI41,0)</f>
        <v>0</v>
      </c>
      <c r="AH41" s="39">
        <f>IF(AQ41="0",BJ41,0)</f>
        <v>412</v>
      </c>
      <c r="AI41" s="69"/>
      <c r="AJ41" s="14">
        <f>IF(AN41=0,J41,0)</f>
        <v>0</v>
      </c>
      <c r="AK41" s="14">
        <f>IF(AN41=15,J41,0)</f>
        <v>0</v>
      </c>
      <c r="AL41" s="14">
        <f>IF(AN41=21,J41,0)</f>
        <v>412</v>
      </c>
      <c r="AN41" s="39">
        <v>21</v>
      </c>
      <c r="AO41" s="39">
        <f>G41*1</f>
        <v>412</v>
      </c>
      <c r="AP41" s="39">
        <f>G41*(1-1)</f>
        <v>0</v>
      </c>
      <c r="AQ41" s="74" t="s">
        <v>193</v>
      </c>
      <c r="AV41" s="39">
        <f>AW41+AX41</f>
        <v>412</v>
      </c>
      <c r="AW41" s="39">
        <f>F41*AO41</f>
        <v>412</v>
      </c>
      <c r="AX41" s="39">
        <f>F41*AP41</f>
        <v>0</v>
      </c>
      <c r="AY41" s="76" t="s">
        <v>197</v>
      </c>
      <c r="AZ41" s="76" t="s">
        <v>199</v>
      </c>
      <c r="BA41" s="69" t="s">
        <v>200</v>
      </c>
      <c r="BC41" s="39">
        <f>AW41+AX41</f>
        <v>412</v>
      </c>
      <c r="BD41" s="39">
        <f>G41/(100-BE41)*100</f>
        <v>412</v>
      </c>
      <c r="BE41" s="39">
        <v>0</v>
      </c>
      <c r="BF41" s="39">
        <f>L41</f>
        <v>0</v>
      </c>
      <c r="BH41" s="14">
        <f>F41*AO41</f>
        <v>412</v>
      </c>
      <c r="BI41" s="14">
        <f>F41*AP41</f>
        <v>0</v>
      </c>
      <c r="BJ41" s="14">
        <f>F41*G41</f>
        <v>412</v>
      </c>
    </row>
    <row r="42" spans="1:62">
      <c r="A42" s="5" t="s">
        <v>33</v>
      </c>
      <c r="B42" s="5"/>
      <c r="C42" s="5" t="s">
        <v>65</v>
      </c>
      <c r="D42" s="5" t="s">
        <v>98</v>
      </c>
      <c r="E42" s="5" t="s">
        <v>105</v>
      </c>
      <c r="F42" s="14">
        <f>'Rozpočet - vybrané sloupce'!E41</f>
        <v>1</v>
      </c>
      <c r="G42" s="14">
        <f>'Rozpočet - vybrané sloupce'!F41</f>
        <v>3504.97</v>
      </c>
      <c r="H42" s="14">
        <f>F42*AO42</f>
        <v>3504.97</v>
      </c>
      <c r="I42" s="14">
        <f>F42*AP42</f>
        <v>0</v>
      </c>
      <c r="J42" s="14">
        <f>F42*G42</f>
        <v>3504.97</v>
      </c>
      <c r="K42" s="14">
        <v>1.0999999999999999E-2</v>
      </c>
      <c r="L42" s="14">
        <f>F42*K42</f>
        <v>1.0999999999999999E-2</v>
      </c>
      <c r="M42" s="74" t="s">
        <v>183</v>
      </c>
      <c r="Z42" s="39">
        <f>IF(AQ42="5",BJ42,0)</f>
        <v>0</v>
      </c>
      <c r="AB42" s="39">
        <f>IF(AQ42="1",BH42,0)</f>
        <v>0</v>
      </c>
      <c r="AC42" s="39">
        <f>IF(AQ42="1",BI42,0)</f>
        <v>0</v>
      </c>
      <c r="AD42" s="39">
        <f>IF(AQ42="7",BH42,0)</f>
        <v>0</v>
      </c>
      <c r="AE42" s="39">
        <f>IF(AQ42="7",BI42,0)</f>
        <v>0</v>
      </c>
      <c r="AF42" s="39">
        <f>IF(AQ42="2",BH42,0)</f>
        <v>0</v>
      </c>
      <c r="AG42" s="39">
        <f>IF(AQ42="2",BI42,0)</f>
        <v>0</v>
      </c>
      <c r="AH42" s="39">
        <f>IF(AQ42="0",BJ42,0)</f>
        <v>3504.97</v>
      </c>
      <c r="AI42" s="69"/>
      <c r="AJ42" s="14">
        <f>IF(AN42=0,J42,0)</f>
        <v>0</v>
      </c>
      <c r="AK42" s="14">
        <f>IF(AN42=15,J42,0)</f>
        <v>0</v>
      </c>
      <c r="AL42" s="14">
        <f>IF(AN42=21,J42,0)</f>
        <v>3504.97</v>
      </c>
      <c r="AN42" s="39">
        <v>21</v>
      </c>
      <c r="AO42" s="39">
        <f>G42*1</f>
        <v>3504.97</v>
      </c>
      <c r="AP42" s="39">
        <f>G42*(1-1)</f>
        <v>0</v>
      </c>
      <c r="AQ42" s="74" t="s">
        <v>193</v>
      </c>
      <c r="AV42" s="39">
        <f>AW42+AX42</f>
        <v>3504.97</v>
      </c>
      <c r="AW42" s="39">
        <f>F42*AO42</f>
        <v>3504.97</v>
      </c>
      <c r="AX42" s="39">
        <f>F42*AP42</f>
        <v>0</v>
      </c>
      <c r="AY42" s="76" t="s">
        <v>197</v>
      </c>
      <c r="AZ42" s="76" t="s">
        <v>199</v>
      </c>
      <c r="BA42" s="69" t="s">
        <v>200</v>
      </c>
      <c r="BC42" s="39">
        <f>AW42+AX42</f>
        <v>3504.97</v>
      </c>
      <c r="BD42" s="39">
        <f>G42/(100-BE42)*100</f>
        <v>3504.9700000000003</v>
      </c>
      <c r="BE42" s="39">
        <v>0</v>
      </c>
      <c r="BF42" s="39">
        <f>L42</f>
        <v>1.0999999999999999E-2</v>
      </c>
      <c r="BH42" s="14">
        <f>F42*AO42</f>
        <v>3504.97</v>
      </c>
      <c r="BI42" s="14">
        <f>F42*AP42</f>
        <v>0</v>
      </c>
      <c r="BJ42" s="14">
        <f>F42*G42</f>
        <v>3504.97</v>
      </c>
    </row>
    <row r="43" spans="1:62">
      <c r="A43" s="60" t="s">
        <v>34</v>
      </c>
      <c r="B43" s="60"/>
      <c r="C43" s="60" t="s">
        <v>66</v>
      </c>
      <c r="D43" s="60" t="s">
        <v>99</v>
      </c>
      <c r="E43" s="60" t="s">
        <v>107</v>
      </c>
      <c r="F43" s="70">
        <f>'Rozpočet - vybrané sloupce'!E42</f>
        <v>1</v>
      </c>
      <c r="G43" s="70">
        <f>'Rozpočet - vybrané sloupce'!F42</f>
        <v>38934</v>
      </c>
      <c r="H43" s="70">
        <f>F43*AO43</f>
        <v>38934</v>
      </c>
      <c r="I43" s="70">
        <f>F43*AP43</f>
        <v>0</v>
      </c>
      <c r="J43" s="70">
        <f>F43*G43</f>
        <v>38934</v>
      </c>
      <c r="K43" s="70">
        <v>0</v>
      </c>
      <c r="L43" s="70">
        <f>F43*K43</f>
        <v>0</v>
      </c>
      <c r="M43" s="75"/>
      <c r="Z43" s="39">
        <f>IF(AQ43="5",BJ43,0)</f>
        <v>0</v>
      </c>
      <c r="AB43" s="39">
        <f>IF(AQ43="1",BH43,0)</f>
        <v>0</v>
      </c>
      <c r="AC43" s="39">
        <f>IF(AQ43="1",BI43,0)</f>
        <v>0</v>
      </c>
      <c r="AD43" s="39">
        <f>IF(AQ43="7",BH43,0)</f>
        <v>0</v>
      </c>
      <c r="AE43" s="39">
        <f>IF(AQ43="7",BI43,0)</f>
        <v>0</v>
      </c>
      <c r="AF43" s="39">
        <f>IF(AQ43="2",BH43,0)</f>
        <v>0</v>
      </c>
      <c r="AG43" s="39">
        <f>IF(AQ43="2",BI43,0)</f>
        <v>0</v>
      </c>
      <c r="AH43" s="39">
        <f>IF(AQ43="0",BJ43,0)</f>
        <v>38934</v>
      </c>
      <c r="AI43" s="69"/>
      <c r="AJ43" s="14">
        <f>IF(AN43=0,J43,0)</f>
        <v>0</v>
      </c>
      <c r="AK43" s="14">
        <f>IF(AN43=15,J43,0)</f>
        <v>0</v>
      </c>
      <c r="AL43" s="14">
        <f>IF(AN43=21,J43,0)</f>
        <v>38934</v>
      </c>
      <c r="AN43" s="39">
        <v>21</v>
      </c>
      <c r="AO43" s="39">
        <f>G43*1</f>
        <v>38934</v>
      </c>
      <c r="AP43" s="39">
        <f>G43*(1-1)</f>
        <v>0</v>
      </c>
      <c r="AQ43" s="74" t="s">
        <v>193</v>
      </c>
      <c r="AV43" s="39">
        <f>AW43+AX43</f>
        <v>38934</v>
      </c>
      <c r="AW43" s="39">
        <f>F43*AO43</f>
        <v>38934</v>
      </c>
      <c r="AX43" s="39">
        <f>F43*AP43</f>
        <v>0</v>
      </c>
      <c r="AY43" s="76" t="s">
        <v>197</v>
      </c>
      <c r="AZ43" s="76" t="s">
        <v>199</v>
      </c>
      <c r="BA43" s="69" t="s">
        <v>200</v>
      </c>
      <c r="BC43" s="39">
        <f>AW43+AX43</f>
        <v>38934</v>
      </c>
      <c r="BD43" s="39">
        <f>G43/(100-BE43)*100</f>
        <v>38934</v>
      </c>
      <c r="BE43" s="39">
        <v>0</v>
      </c>
      <c r="BF43" s="39">
        <f>L43</f>
        <v>0</v>
      </c>
      <c r="BH43" s="14">
        <f>F43*AO43</f>
        <v>38934</v>
      </c>
      <c r="BI43" s="14">
        <f>F43*AP43</f>
        <v>0</v>
      </c>
      <c r="BJ43" s="14">
        <f>F43*G43</f>
        <v>38934</v>
      </c>
    </row>
    <row r="44" spans="1:62">
      <c r="A44" s="19"/>
      <c r="B44" s="19"/>
      <c r="C44" s="19"/>
      <c r="D44" s="19"/>
      <c r="E44" s="19"/>
      <c r="F44" s="19"/>
      <c r="G44" s="19"/>
      <c r="H44" s="108" t="s">
        <v>112</v>
      </c>
      <c r="I44" s="109"/>
      <c r="J44" s="40">
        <f>J12+J24+J32+J38</f>
        <v>100807.09</v>
      </c>
      <c r="K44" s="19"/>
      <c r="L44" s="19"/>
      <c r="M44" s="19"/>
    </row>
    <row r="45" spans="1:62" ht="11.25" customHeight="1">
      <c r="A45" s="31" t="s">
        <v>120</v>
      </c>
    </row>
    <row r="46" spans="1:62">
      <c r="A46" s="79"/>
      <c r="B46" s="80"/>
      <c r="C46" s="80"/>
      <c r="D46" s="80"/>
      <c r="E46" s="80"/>
      <c r="F46" s="80"/>
      <c r="G46" s="80"/>
      <c r="H46" s="80"/>
      <c r="I46" s="80"/>
      <c r="J46" s="80"/>
      <c r="K46" s="80"/>
      <c r="L46" s="80"/>
      <c r="M46" s="80"/>
    </row>
  </sheetData>
  <mergeCells count="29">
    <mergeCell ref="A1:M1"/>
    <mergeCell ref="A2:C3"/>
    <mergeCell ref="D2:E3"/>
    <mergeCell ref="F2:G3"/>
    <mergeCell ref="H2:H3"/>
    <mergeCell ref="I2:I3"/>
    <mergeCell ref="J2:M3"/>
    <mergeCell ref="J6:M7"/>
    <mergeCell ref="A4:C5"/>
    <mergeCell ref="D4:E5"/>
    <mergeCell ref="F4:G5"/>
    <mergeCell ref="H4:H5"/>
    <mergeCell ref="I4:I5"/>
    <mergeCell ref="J4:M5"/>
    <mergeCell ref="A6:C7"/>
    <mergeCell ref="D6:E7"/>
    <mergeCell ref="F6:G7"/>
    <mergeCell ref="H6:H7"/>
    <mergeCell ref="I6:I7"/>
    <mergeCell ref="H10:J10"/>
    <mergeCell ref="K10:L10"/>
    <mergeCell ref="H44:I44"/>
    <mergeCell ref="A46:M46"/>
    <mergeCell ref="A8:C9"/>
    <mergeCell ref="D8:E9"/>
    <mergeCell ref="F8:G9"/>
    <mergeCell ref="H8:H9"/>
    <mergeCell ref="I8:I9"/>
    <mergeCell ref="J8:M9"/>
  </mergeCells>
  <pageMargins left="0.39400000000000002" right="0.39400000000000002" top="0.59099999999999997" bottom="0.59099999999999997" header="0.5" footer="0.5"/>
  <pageSetup paperSize="0" fitToHeight="0" orientation="portrait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Rozpočet - vybrané sloupce</vt:lpstr>
      <vt:lpstr>Rozpočet - Jen skupiny</vt:lpstr>
      <vt:lpstr>Krycí list rozpočtu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dcterms:created xsi:type="dcterms:W3CDTF">2022-08-14T18:36:18Z</dcterms:created>
  <dcterms:modified xsi:type="dcterms:W3CDTF">2022-08-16T09:15:28Z</dcterms:modified>
</cp:coreProperties>
</file>